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15360" windowHeight="9435" activeTab="1"/>
  </bookViews>
  <sheets>
    <sheet name="Project Description" sheetId="1" r:id="rId1"/>
    <sheet name="Sources &amp; Uses" sheetId="7" r:id="rId2"/>
    <sheet name="Income &amp; Expenses" sheetId="3" r:id="rId3"/>
    <sheet name="20-year Pro Forma" sheetId="8" r:id="rId4"/>
    <sheet name="Income Limits &amp; Max Rents" sheetId="6" state="hidden" r:id="rId5"/>
    <sheet name="MTSP Income Limits" sheetId="5" state="hidden" r:id="rId6"/>
    <sheet name="DropDownLists" sheetId="4" state="hidden" r:id="rId7"/>
    <sheet name="Land payoff" sheetId="9" r:id="rId8"/>
  </sheets>
  <definedNames>
    <definedName name="AMIrestriction">DropDownLists!$T$3:$T$7</definedName>
    <definedName name="BRs">DropDownLists!$R$3:$R$6</definedName>
    <definedName name="County">DropDownLists!$B$3:$B$102</definedName>
    <definedName name="EntityStatus">DropDownLists!$P$3:$P$4</definedName>
    <definedName name="EntityType">DropDownLists!$N$3:$N$5</definedName>
    <definedName name="_xlnm.Print_Area" localSheetId="3">'20-year Pro Forma'!$B$2:$X$39</definedName>
    <definedName name="_xlnm.Print_Area" localSheetId="2">'Income &amp; Expenses'!$B$2:$N$46</definedName>
    <definedName name="_xlnm.Print_Area" localSheetId="0">'Project Description'!$A$1:$F$36</definedName>
    <definedName name="_xlnm.Print_Area" localSheetId="1">'Sources &amp; Uses'!$B$2:$M$137</definedName>
    <definedName name="_xlnm.Print_Titles" localSheetId="3">'20-year Pro Forma'!$B:$D,'20-year Pro Forma'!$2:$6</definedName>
    <definedName name="_xlnm.Print_Titles" localSheetId="2">'Income &amp; Expenses'!$2:$7</definedName>
    <definedName name="_xlnm.Print_Titles" localSheetId="1">'Sources &amp; Uses'!$2:$6</definedName>
    <definedName name="ProjectType">DropDownLists!$F$3:$F$7</definedName>
    <definedName name="QCTorDDA">DropDownLists!$D$3:$D$4</definedName>
    <definedName name="RentalAssistance">DropDownLists!$J$3:$J$4</definedName>
    <definedName name="SiteControl">DropDownLists!$L$3:$L$4</definedName>
    <definedName name="TargetPop">DropDownLists!$H$3:$H$8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3" l="1"/>
  <c r="F30" i="3"/>
  <c r="H79" i="7" l="1"/>
  <c r="H94" i="7"/>
  <c r="K15" i="3"/>
  <c r="I15" i="3"/>
  <c r="I14" i="3"/>
  <c r="K14" i="3"/>
  <c r="F16" i="3"/>
  <c r="F26" i="3"/>
  <c r="L15" i="3"/>
  <c r="H14" i="3"/>
  <c r="F25" i="3"/>
  <c r="H13" i="3"/>
  <c r="H11" i="3"/>
  <c r="N15" i="3" l="1"/>
  <c r="H81" i="7"/>
  <c r="F19" i="3" l="1"/>
  <c r="E9" i="7"/>
  <c r="H12" i="3"/>
  <c r="H10" i="3"/>
  <c r="D25" i="1"/>
  <c r="C8" i="9"/>
  <c r="C5" i="9"/>
  <c r="C7" i="9"/>
  <c r="C9" i="9"/>
  <c r="C13" i="9"/>
  <c r="C12" i="9"/>
  <c r="C14" i="9"/>
  <c r="C15" i="9"/>
  <c r="C16" i="9"/>
  <c r="C10" i="9"/>
  <c r="F32" i="3"/>
  <c r="F33" i="3"/>
  <c r="J19" i="3"/>
  <c r="M19" i="3" s="1"/>
  <c r="G26" i="3"/>
  <c r="F24" i="3"/>
  <c r="O6" i="7"/>
  <c r="C11" i="9"/>
  <c r="J106" i="7"/>
  <c r="J104" i="7"/>
  <c r="J99" i="7"/>
  <c r="J86" i="7"/>
  <c r="J87" i="7"/>
  <c r="J88" i="7"/>
  <c r="J89" i="7"/>
  <c r="J90" i="7"/>
  <c r="J91" i="7"/>
  <c r="J92" i="7"/>
  <c r="J93" i="7"/>
  <c r="J94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1" i="7"/>
  <c r="J62" i="7"/>
  <c r="J63" i="7"/>
  <c r="J65" i="7"/>
  <c r="J66" i="7"/>
  <c r="J67" i="7"/>
  <c r="J68" i="7"/>
  <c r="J69" i="7"/>
  <c r="J70" i="7"/>
  <c r="J72" i="7"/>
  <c r="J73" i="7"/>
  <c r="J74" i="7"/>
  <c r="J75" i="7"/>
  <c r="J76" i="7"/>
  <c r="J77" i="7"/>
  <c r="J24" i="7"/>
  <c r="J25" i="7"/>
  <c r="J27" i="7"/>
  <c r="J34" i="7"/>
  <c r="J22" i="7"/>
  <c r="K118" i="7"/>
  <c r="K123" i="7" s="1"/>
  <c r="K125" i="7" s="1"/>
  <c r="K129" i="7" s="1"/>
  <c r="K131" i="7" s="1"/>
  <c r="G61" i="7"/>
  <c r="G62" i="7"/>
  <c r="G60" i="7"/>
  <c r="H60" i="7"/>
  <c r="J60" i="7"/>
  <c r="F117" i="3"/>
  <c r="H117" i="3"/>
  <c r="E100" i="3"/>
  <c r="L9" i="7"/>
  <c r="K29" i="8" s="1"/>
  <c r="E17" i="8"/>
  <c r="F17" i="8" s="1"/>
  <c r="G17" i="8" s="1"/>
  <c r="H17" i="8" s="1"/>
  <c r="I17" i="8" s="1"/>
  <c r="J17" i="8" s="1"/>
  <c r="K17" i="8" s="1"/>
  <c r="L17" i="8" s="1"/>
  <c r="M17" i="8" s="1"/>
  <c r="N17" i="8" s="1"/>
  <c r="O17" i="8" s="1"/>
  <c r="P17" i="8" s="1"/>
  <c r="Q17" i="8" s="1"/>
  <c r="R17" i="8" s="1"/>
  <c r="S17" i="8" s="1"/>
  <c r="T17" i="8" s="1"/>
  <c r="U17" i="8" s="1"/>
  <c r="V17" i="8" s="1"/>
  <c r="W17" i="8" s="1"/>
  <c r="X17" i="8" s="1"/>
  <c r="Y17" i="8" s="1"/>
  <c r="Z17" i="8" s="1"/>
  <c r="AA17" i="8" s="1"/>
  <c r="AB17" i="8" s="1"/>
  <c r="AC17" i="8" s="1"/>
  <c r="AD17" i="8" s="1"/>
  <c r="AE17" i="8" s="1"/>
  <c r="AF17" i="8" s="1"/>
  <c r="AG17" i="8" s="1"/>
  <c r="AH17" i="8" s="1"/>
  <c r="E18" i="8"/>
  <c r="F18" i="8" s="1"/>
  <c r="G18" i="8" s="1"/>
  <c r="H18" i="8" s="1"/>
  <c r="I18" i="8" s="1"/>
  <c r="J18" i="8" s="1"/>
  <c r="K18" i="8" s="1"/>
  <c r="L18" i="8" s="1"/>
  <c r="M18" i="8" s="1"/>
  <c r="N18" i="8" s="1"/>
  <c r="O18" i="8" s="1"/>
  <c r="P18" i="8" s="1"/>
  <c r="Q18" i="8" s="1"/>
  <c r="R18" i="8" s="1"/>
  <c r="S18" i="8" s="1"/>
  <c r="T18" i="8" s="1"/>
  <c r="U18" i="8" s="1"/>
  <c r="V18" i="8" s="1"/>
  <c r="W18" i="8" s="1"/>
  <c r="X18" i="8" s="1"/>
  <c r="Y18" i="8" s="1"/>
  <c r="Z18" i="8" s="1"/>
  <c r="AA18" i="8" s="1"/>
  <c r="AB18" i="8" s="1"/>
  <c r="AC18" i="8" s="1"/>
  <c r="AD18" i="8" s="1"/>
  <c r="AE18" i="8" s="1"/>
  <c r="AF18" i="8" s="1"/>
  <c r="AG18" i="8" s="1"/>
  <c r="AH18" i="8" s="1"/>
  <c r="D44" i="8"/>
  <c r="D45" i="8"/>
  <c r="D18" i="8"/>
  <c r="G87" i="7"/>
  <c r="G88" i="7"/>
  <c r="G89" i="7"/>
  <c r="G90" i="7"/>
  <c r="G91" i="7"/>
  <c r="G92" i="7"/>
  <c r="G93" i="7"/>
  <c r="G39" i="7"/>
  <c r="G40" i="7"/>
  <c r="G41" i="7"/>
  <c r="G42" i="7"/>
  <c r="G43" i="7"/>
  <c r="G44" i="7"/>
  <c r="G45" i="7"/>
  <c r="G46" i="7"/>
  <c r="E51" i="7"/>
  <c r="G51" i="7"/>
  <c r="E52" i="7"/>
  <c r="G52" i="7"/>
  <c r="E53" i="7"/>
  <c r="G53" i="7"/>
  <c r="E54" i="7"/>
  <c r="G54" i="7"/>
  <c r="E55" i="7"/>
  <c r="G55" i="7"/>
  <c r="E56" i="7"/>
  <c r="G56" i="7"/>
  <c r="E57" i="7"/>
  <c r="G57" i="7"/>
  <c r="E58" i="7"/>
  <c r="G58" i="7"/>
  <c r="H71" i="7"/>
  <c r="J71" i="7" s="1"/>
  <c r="K119" i="7"/>
  <c r="K120" i="7"/>
  <c r="K121" i="7"/>
  <c r="K122" i="7"/>
  <c r="J21" i="7"/>
  <c r="J119" i="7"/>
  <c r="J120" i="7"/>
  <c r="J121" i="7"/>
  <c r="J122" i="7"/>
  <c r="J126" i="7"/>
  <c r="H95" i="7"/>
  <c r="M11" i="7"/>
  <c r="E31" i="8"/>
  <c r="H133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C52" i="7"/>
  <c r="C53" i="7"/>
  <c r="C54" i="7"/>
  <c r="C55" i="7"/>
  <c r="C56" i="7"/>
  <c r="C57" i="7"/>
  <c r="C58" i="7"/>
  <c r="C51" i="7"/>
  <c r="J13" i="3"/>
  <c r="K13" i="3"/>
  <c r="J11" i="3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K12" i="3"/>
  <c r="D40" i="3"/>
  <c r="M10" i="7"/>
  <c r="M12" i="7"/>
  <c r="C32" i="8"/>
  <c r="C31" i="8"/>
  <c r="C30" i="8"/>
  <c r="M9" i="7"/>
  <c r="K10" i="3"/>
  <c r="L10" i="7"/>
  <c r="L11" i="7"/>
  <c r="L12" i="7"/>
  <c r="B2" i="3"/>
  <c r="E31" i="3"/>
  <c r="E32" i="3"/>
  <c r="E33" i="3"/>
  <c r="E34" i="3"/>
  <c r="F34" i="3"/>
  <c r="E30" i="3"/>
  <c r="C29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B2" i="8"/>
  <c r="C88" i="7"/>
  <c r="C93" i="7"/>
  <c r="C87" i="7"/>
  <c r="B3" i="7"/>
  <c r="F95" i="3"/>
  <c r="F71" i="3"/>
  <c r="H71" i="3"/>
  <c r="B2" i="1"/>
  <c r="I12" i="3"/>
  <c r="I13" i="3"/>
  <c r="I11" i="3"/>
  <c r="I10" i="3"/>
  <c r="J7" i="6"/>
  <c r="K7" i="6"/>
  <c r="L7" i="6"/>
  <c r="M7" i="6"/>
  <c r="N7" i="6"/>
  <c r="I7" i="6"/>
  <c r="AJ8" i="6"/>
  <c r="AJ7" i="6"/>
  <c r="AI8" i="6"/>
  <c r="AD8" i="6"/>
  <c r="AH8" i="6"/>
  <c r="AH7" i="6"/>
  <c r="AG8" i="6"/>
  <c r="AG7" i="6"/>
  <c r="AF8" i="6"/>
  <c r="AA8" i="6"/>
  <c r="E24" i="3"/>
  <c r="E25" i="3"/>
  <c r="E26" i="3"/>
  <c r="E27" i="3"/>
  <c r="F27" i="3"/>
  <c r="E23" i="3"/>
  <c r="F23" i="3"/>
  <c r="H8" i="6"/>
  <c r="E8" i="6"/>
  <c r="F8" i="6"/>
  <c r="G8" i="6"/>
  <c r="S8" i="6"/>
  <c r="Y8" i="6"/>
  <c r="Y7" i="6"/>
  <c r="D8" i="6"/>
  <c r="C8" i="6"/>
  <c r="F40" i="3"/>
  <c r="G40" i="3"/>
  <c r="H40" i="3"/>
  <c r="H43" i="3" s="1"/>
  <c r="I40" i="3"/>
  <c r="J40" i="3"/>
  <c r="J41" i="3" s="1"/>
  <c r="E40" i="3"/>
  <c r="D42" i="3"/>
  <c r="F42" i="3" s="1"/>
  <c r="D43" i="3"/>
  <c r="D44" i="3"/>
  <c r="E44" i="3" s="1"/>
  <c r="D41" i="3"/>
  <c r="L100" i="6"/>
  <c r="F100" i="6"/>
  <c r="AB8" i="6"/>
  <c r="AI7" i="6"/>
  <c r="G7" i="6"/>
  <c r="AC8" i="6"/>
  <c r="AM8" i="6"/>
  <c r="AR8" i="6"/>
  <c r="AR7" i="6"/>
  <c r="AF7" i="6"/>
  <c r="AE8" i="6"/>
  <c r="AE7" i="6"/>
  <c r="L11" i="3"/>
  <c r="AC7" i="6"/>
  <c r="I9" i="6"/>
  <c r="O9" i="6"/>
  <c r="J9" i="6"/>
  <c r="K9" i="6"/>
  <c r="L9" i="6"/>
  <c r="M9" i="6"/>
  <c r="G9" i="6"/>
  <c r="N9" i="6"/>
  <c r="S9" i="6"/>
  <c r="AJ9" i="6"/>
  <c r="AO9" i="6"/>
  <c r="I10" i="6"/>
  <c r="J10" i="6"/>
  <c r="K10" i="6"/>
  <c r="E10" i="6"/>
  <c r="L10" i="6"/>
  <c r="M10" i="6"/>
  <c r="N10" i="6"/>
  <c r="W10" i="6"/>
  <c r="AF10" i="6"/>
  <c r="AH10" i="6"/>
  <c r="AJ10" i="6"/>
  <c r="AP10" i="6"/>
  <c r="AT10" i="6"/>
  <c r="I11" i="6"/>
  <c r="C11" i="6"/>
  <c r="J11" i="6"/>
  <c r="D11" i="6"/>
  <c r="K11" i="6"/>
  <c r="L11" i="6"/>
  <c r="F11" i="6"/>
  <c r="M11" i="6"/>
  <c r="G11" i="6"/>
  <c r="N11" i="6"/>
  <c r="H11" i="6"/>
  <c r="O11" i="6"/>
  <c r="R11" i="6"/>
  <c r="T11" i="6"/>
  <c r="Z11" i="6"/>
  <c r="I12" i="6"/>
  <c r="C12" i="6"/>
  <c r="J12" i="6"/>
  <c r="D12" i="6"/>
  <c r="K12" i="6"/>
  <c r="E12" i="6"/>
  <c r="L12" i="6"/>
  <c r="F12" i="6"/>
  <c r="M12" i="6"/>
  <c r="G12" i="6"/>
  <c r="N12" i="6"/>
  <c r="O12" i="6"/>
  <c r="R12" i="6"/>
  <c r="W12" i="6"/>
  <c r="AH12" i="6"/>
  <c r="I13" i="6"/>
  <c r="C13" i="6"/>
  <c r="J13" i="6"/>
  <c r="D13" i="6"/>
  <c r="K13" i="6"/>
  <c r="L13" i="6"/>
  <c r="F13" i="6"/>
  <c r="M13" i="6"/>
  <c r="G13" i="6"/>
  <c r="N13" i="6"/>
  <c r="H13" i="6"/>
  <c r="O13" i="6"/>
  <c r="R13" i="6"/>
  <c r="T13" i="6"/>
  <c r="Z13" i="6"/>
  <c r="I14" i="6"/>
  <c r="C14" i="6"/>
  <c r="J14" i="6"/>
  <c r="D14" i="6"/>
  <c r="K14" i="6"/>
  <c r="E14" i="6"/>
  <c r="L14" i="6"/>
  <c r="F14" i="6"/>
  <c r="M14" i="6"/>
  <c r="G14" i="6"/>
  <c r="N14" i="6"/>
  <c r="O14" i="6"/>
  <c r="R14" i="6"/>
  <c r="W14" i="6"/>
  <c r="AH14" i="6"/>
  <c r="I15" i="6"/>
  <c r="C15" i="6"/>
  <c r="J15" i="6"/>
  <c r="D15" i="6"/>
  <c r="K15" i="6"/>
  <c r="L15" i="6"/>
  <c r="F15" i="6"/>
  <c r="M15" i="6"/>
  <c r="G15" i="6"/>
  <c r="N15" i="6"/>
  <c r="H15" i="6"/>
  <c r="O15" i="6"/>
  <c r="R15" i="6"/>
  <c r="T15" i="6"/>
  <c r="Z15" i="6"/>
  <c r="I16" i="6"/>
  <c r="C16" i="6"/>
  <c r="J16" i="6"/>
  <c r="K16" i="6"/>
  <c r="E16" i="6"/>
  <c r="L16" i="6"/>
  <c r="M16" i="6"/>
  <c r="Y16" i="6"/>
  <c r="N16" i="6"/>
  <c r="O16" i="6"/>
  <c r="R16" i="6"/>
  <c r="U16" i="6"/>
  <c r="V16" i="6"/>
  <c r="W16" i="6"/>
  <c r="Z16" i="6"/>
  <c r="AF16" i="6"/>
  <c r="I17" i="6"/>
  <c r="J17" i="6"/>
  <c r="D17" i="6"/>
  <c r="K17" i="6"/>
  <c r="E17" i="6"/>
  <c r="L17" i="6"/>
  <c r="F17" i="6"/>
  <c r="M17" i="6"/>
  <c r="N17" i="6"/>
  <c r="H17" i="6"/>
  <c r="W17" i="6"/>
  <c r="I18" i="6"/>
  <c r="C18" i="6"/>
  <c r="J18" i="6"/>
  <c r="D18" i="6"/>
  <c r="K18" i="6"/>
  <c r="L18" i="6"/>
  <c r="F18" i="6"/>
  <c r="M18" i="6"/>
  <c r="G18" i="6"/>
  <c r="N18" i="6"/>
  <c r="H18" i="6"/>
  <c r="O18" i="6"/>
  <c r="AF18" i="6"/>
  <c r="AA18" i="6"/>
  <c r="I19" i="6"/>
  <c r="U19" i="6"/>
  <c r="J19" i="6"/>
  <c r="D19" i="6"/>
  <c r="K19" i="6"/>
  <c r="L19" i="6"/>
  <c r="F19" i="6"/>
  <c r="M19" i="6"/>
  <c r="N19" i="6"/>
  <c r="H19" i="6"/>
  <c r="S19" i="6"/>
  <c r="AH19" i="6"/>
  <c r="AC19" i="6"/>
  <c r="I20" i="6"/>
  <c r="C20" i="6"/>
  <c r="J20" i="6"/>
  <c r="D20" i="6"/>
  <c r="K20" i="6"/>
  <c r="E20" i="6"/>
  <c r="L20" i="6"/>
  <c r="F20" i="6"/>
  <c r="M20" i="6"/>
  <c r="G20" i="6"/>
  <c r="N20" i="6"/>
  <c r="H20" i="6"/>
  <c r="O20" i="6"/>
  <c r="AF20" i="6"/>
  <c r="AA20" i="6"/>
  <c r="I21" i="6"/>
  <c r="J21" i="6"/>
  <c r="D21" i="6"/>
  <c r="K21" i="6"/>
  <c r="L21" i="6"/>
  <c r="F21" i="6"/>
  <c r="M21" i="6"/>
  <c r="N21" i="6"/>
  <c r="H21" i="6"/>
  <c r="W21" i="6"/>
  <c r="I22" i="6"/>
  <c r="C22" i="6"/>
  <c r="J22" i="6"/>
  <c r="D22" i="6"/>
  <c r="K22" i="6"/>
  <c r="L22" i="6"/>
  <c r="F22" i="6"/>
  <c r="M22" i="6"/>
  <c r="G22" i="6"/>
  <c r="N22" i="6"/>
  <c r="AJ22" i="6"/>
  <c r="AO22" i="6"/>
  <c r="O22" i="6"/>
  <c r="Q22" i="6"/>
  <c r="AF22" i="6"/>
  <c r="AK22" i="6"/>
  <c r="AG22" i="6"/>
  <c r="AQ22" i="6"/>
  <c r="I23" i="6"/>
  <c r="C23" i="6"/>
  <c r="J23" i="6"/>
  <c r="K23" i="6"/>
  <c r="L23" i="6"/>
  <c r="M23" i="6"/>
  <c r="G23" i="6"/>
  <c r="N23" i="6"/>
  <c r="AJ23" i="6"/>
  <c r="AO23" i="6"/>
  <c r="O23" i="6"/>
  <c r="S23" i="6"/>
  <c r="AF23" i="6"/>
  <c r="AK23" i="6"/>
  <c r="AH23" i="6"/>
  <c r="AM23" i="6"/>
  <c r="I24" i="6"/>
  <c r="C24" i="6"/>
  <c r="J24" i="6"/>
  <c r="K24" i="6"/>
  <c r="E24" i="6"/>
  <c r="L24" i="6"/>
  <c r="M24" i="6"/>
  <c r="N24" i="6"/>
  <c r="AJ24" i="6"/>
  <c r="AO24" i="6"/>
  <c r="O24" i="6"/>
  <c r="AH24" i="6"/>
  <c r="AM24" i="6"/>
  <c r="I25" i="6"/>
  <c r="J25" i="6"/>
  <c r="K25" i="6"/>
  <c r="L25" i="6"/>
  <c r="M25" i="6"/>
  <c r="G25" i="6"/>
  <c r="N25" i="6"/>
  <c r="AJ25" i="6"/>
  <c r="AO25" i="6"/>
  <c r="AF25" i="6"/>
  <c r="AK25" i="6"/>
  <c r="AH25" i="6"/>
  <c r="AM25" i="6"/>
  <c r="I26" i="6"/>
  <c r="J26" i="6"/>
  <c r="K26" i="6"/>
  <c r="L26" i="6"/>
  <c r="M26" i="6"/>
  <c r="G26" i="6"/>
  <c r="N26" i="6"/>
  <c r="O26" i="6"/>
  <c r="S26" i="6"/>
  <c r="AJ26" i="6"/>
  <c r="AO26" i="6"/>
  <c r="I27" i="6"/>
  <c r="C27" i="6"/>
  <c r="J27" i="6"/>
  <c r="K27" i="6"/>
  <c r="L27" i="6"/>
  <c r="M27" i="6"/>
  <c r="G27" i="6"/>
  <c r="N27" i="6"/>
  <c r="O27" i="6"/>
  <c r="S27" i="6"/>
  <c r="AF27" i="6"/>
  <c r="AK27" i="6"/>
  <c r="AJ27" i="6"/>
  <c r="AO27" i="6"/>
  <c r="I28" i="6"/>
  <c r="C28" i="6"/>
  <c r="J28" i="6"/>
  <c r="K28" i="6"/>
  <c r="L28" i="6"/>
  <c r="M28" i="6"/>
  <c r="G28" i="6"/>
  <c r="N28" i="6"/>
  <c r="AJ28" i="6"/>
  <c r="AO28" i="6"/>
  <c r="AH28" i="6"/>
  <c r="AM28" i="6"/>
  <c r="I29" i="6"/>
  <c r="C29" i="6"/>
  <c r="J29" i="6"/>
  <c r="K29" i="6"/>
  <c r="AH29" i="6"/>
  <c r="AM29" i="6"/>
  <c r="L29" i="6"/>
  <c r="M29" i="6"/>
  <c r="N29" i="6"/>
  <c r="AJ29" i="6"/>
  <c r="AO29" i="6"/>
  <c r="O29" i="6"/>
  <c r="AF29" i="6"/>
  <c r="AK29" i="6"/>
  <c r="I30" i="6"/>
  <c r="C30" i="6"/>
  <c r="J30" i="6"/>
  <c r="K30" i="6"/>
  <c r="L30" i="6"/>
  <c r="M30" i="6"/>
  <c r="G30" i="6"/>
  <c r="N30" i="6"/>
  <c r="AJ30" i="6"/>
  <c r="AO30" i="6"/>
  <c r="O30" i="6"/>
  <c r="AF30" i="6"/>
  <c r="AK30" i="6"/>
  <c r="I31" i="6"/>
  <c r="C31" i="6"/>
  <c r="J31" i="6"/>
  <c r="K31" i="6"/>
  <c r="L31" i="6"/>
  <c r="M31" i="6"/>
  <c r="S31" i="6"/>
  <c r="N31" i="6"/>
  <c r="R31" i="6"/>
  <c r="Z31" i="6"/>
  <c r="AJ31" i="6"/>
  <c r="AE31" i="6"/>
  <c r="I32" i="6"/>
  <c r="AF32" i="6"/>
  <c r="AA32" i="6"/>
  <c r="J32" i="6"/>
  <c r="V32" i="6"/>
  <c r="K32" i="6"/>
  <c r="L32" i="6"/>
  <c r="F32" i="6"/>
  <c r="M32" i="6"/>
  <c r="G32" i="6"/>
  <c r="N32" i="6"/>
  <c r="H32" i="6"/>
  <c r="O32" i="6"/>
  <c r="Y32" i="6"/>
  <c r="AI32" i="6"/>
  <c r="I33" i="6"/>
  <c r="J33" i="6"/>
  <c r="P33" i="6"/>
  <c r="D33" i="6"/>
  <c r="K33" i="6"/>
  <c r="L33" i="6"/>
  <c r="F33" i="6"/>
  <c r="M33" i="6"/>
  <c r="N33" i="6"/>
  <c r="T33" i="6"/>
  <c r="U33" i="6"/>
  <c r="I34" i="6"/>
  <c r="J34" i="6"/>
  <c r="K34" i="6"/>
  <c r="L34" i="6"/>
  <c r="F34" i="6"/>
  <c r="M34" i="6"/>
  <c r="G34" i="6"/>
  <c r="N34" i="6"/>
  <c r="O34" i="6"/>
  <c r="U34" i="6"/>
  <c r="Z34" i="6"/>
  <c r="AH34" i="6"/>
  <c r="AJ34" i="6"/>
  <c r="AE34" i="6"/>
  <c r="I35" i="6"/>
  <c r="J35" i="6"/>
  <c r="P35" i="6"/>
  <c r="K35" i="6"/>
  <c r="E35" i="6"/>
  <c r="L35" i="6"/>
  <c r="M35" i="6"/>
  <c r="G35" i="6"/>
  <c r="N35" i="6"/>
  <c r="Y35" i="6"/>
  <c r="AH35" i="6"/>
  <c r="I36" i="6"/>
  <c r="J36" i="6"/>
  <c r="D36" i="6"/>
  <c r="K36" i="6"/>
  <c r="L36" i="6"/>
  <c r="M36" i="6"/>
  <c r="G36" i="6"/>
  <c r="N36" i="6"/>
  <c r="S36" i="6"/>
  <c r="Y36" i="6"/>
  <c r="I37" i="6"/>
  <c r="J37" i="6"/>
  <c r="D37" i="6"/>
  <c r="K37" i="6"/>
  <c r="W37" i="6"/>
  <c r="L37" i="6"/>
  <c r="F37" i="6"/>
  <c r="M37" i="6"/>
  <c r="S37" i="6"/>
  <c r="N37" i="6"/>
  <c r="H37" i="6"/>
  <c r="R37" i="6"/>
  <c r="T37" i="6"/>
  <c r="V37" i="6"/>
  <c r="Z37" i="6"/>
  <c r="AJ37" i="6"/>
  <c r="I38" i="6"/>
  <c r="J38" i="6"/>
  <c r="D38" i="6"/>
  <c r="K38" i="6"/>
  <c r="L38" i="6"/>
  <c r="F38" i="6"/>
  <c r="M38" i="6"/>
  <c r="S38" i="6"/>
  <c r="N38" i="6"/>
  <c r="H38" i="6"/>
  <c r="O38" i="6"/>
  <c r="T38" i="6"/>
  <c r="Z38" i="6"/>
  <c r="AJ38" i="6"/>
  <c r="I39" i="6"/>
  <c r="O39" i="6"/>
  <c r="J39" i="6"/>
  <c r="D39" i="6"/>
  <c r="K39" i="6"/>
  <c r="L39" i="6"/>
  <c r="F39" i="6"/>
  <c r="M39" i="6"/>
  <c r="N39" i="6"/>
  <c r="H39" i="6"/>
  <c r="P39" i="6"/>
  <c r="V39" i="6"/>
  <c r="W39" i="6"/>
  <c r="Z39" i="6"/>
  <c r="AH39" i="6"/>
  <c r="AJ39" i="6"/>
  <c r="AM39" i="6"/>
  <c r="I40" i="6"/>
  <c r="O40" i="6"/>
  <c r="J40" i="6"/>
  <c r="D40" i="6"/>
  <c r="K40" i="6"/>
  <c r="W40" i="6"/>
  <c r="L40" i="6"/>
  <c r="F40" i="6"/>
  <c r="M40" i="6"/>
  <c r="N40" i="6"/>
  <c r="H40" i="6"/>
  <c r="R40" i="6"/>
  <c r="V40" i="6"/>
  <c r="X40" i="6"/>
  <c r="AJ40" i="6"/>
  <c r="I41" i="6"/>
  <c r="J41" i="6"/>
  <c r="K41" i="6"/>
  <c r="W41" i="6"/>
  <c r="L41" i="6"/>
  <c r="M41" i="6"/>
  <c r="N41" i="6"/>
  <c r="H41" i="6"/>
  <c r="S41" i="6"/>
  <c r="AH41" i="6"/>
  <c r="I42" i="6"/>
  <c r="J42" i="6"/>
  <c r="D42" i="6"/>
  <c r="K42" i="6"/>
  <c r="W42" i="6"/>
  <c r="L42" i="6"/>
  <c r="F42" i="6"/>
  <c r="M42" i="6"/>
  <c r="S42" i="6"/>
  <c r="N42" i="6"/>
  <c r="H42" i="6"/>
  <c r="P42" i="6"/>
  <c r="T42" i="6"/>
  <c r="V42" i="6"/>
  <c r="I43" i="6"/>
  <c r="J43" i="6"/>
  <c r="K43" i="6"/>
  <c r="W43" i="6"/>
  <c r="L43" i="6"/>
  <c r="M43" i="6"/>
  <c r="S43" i="6"/>
  <c r="N43" i="6"/>
  <c r="H43" i="6"/>
  <c r="P43" i="6"/>
  <c r="X43" i="6"/>
  <c r="AH43" i="6"/>
  <c r="I44" i="6"/>
  <c r="J44" i="6"/>
  <c r="D44" i="6"/>
  <c r="K44" i="6"/>
  <c r="W44" i="6"/>
  <c r="L44" i="6"/>
  <c r="F44" i="6"/>
  <c r="M44" i="6"/>
  <c r="S44" i="6"/>
  <c r="N44" i="6"/>
  <c r="H44" i="6"/>
  <c r="R44" i="6"/>
  <c r="T44" i="6"/>
  <c r="V44" i="6"/>
  <c r="Z44" i="6"/>
  <c r="AJ44" i="6"/>
  <c r="I45" i="6"/>
  <c r="J45" i="6"/>
  <c r="K45" i="6"/>
  <c r="W45" i="6"/>
  <c r="L45" i="6"/>
  <c r="F45" i="6"/>
  <c r="M45" i="6"/>
  <c r="G45" i="6"/>
  <c r="N45" i="6"/>
  <c r="H45" i="6"/>
  <c r="O45" i="6"/>
  <c r="V45" i="6"/>
  <c r="X45" i="6"/>
  <c r="I46" i="6"/>
  <c r="J46" i="6"/>
  <c r="D46" i="6"/>
  <c r="K46" i="6"/>
  <c r="L46" i="6"/>
  <c r="F46" i="6"/>
  <c r="M46" i="6"/>
  <c r="N46" i="6"/>
  <c r="P46" i="6"/>
  <c r="R46" i="6"/>
  <c r="U46" i="6"/>
  <c r="Y46" i="6"/>
  <c r="AH46" i="6"/>
  <c r="AC46" i="6"/>
  <c r="I47" i="6"/>
  <c r="C47" i="6"/>
  <c r="J47" i="6"/>
  <c r="P47" i="6"/>
  <c r="K47" i="6"/>
  <c r="E47" i="6"/>
  <c r="L47" i="6"/>
  <c r="M47" i="6"/>
  <c r="G47" i="6"/>
  <c r="N47" i="6"/>
  <c r="O47" i="6"/>
  <c r="Q47" i="6"/>
  <c r="U47" i="6"/>
  <c r="Y47" i="6"/>
  <c r="I48" i="6"/>
  <c r="J48" i="6"/>
  <c r="P48" i="6"/>
  <c r="K48" i="6"/>
  <c r="E48" i="6"/>
  <c r="L48" i="6"/>
  <c r="M48" i="6"/>
  <c r="G48" i="6"/>
  <c r="N48" i="6"/>
  <c r="T48" i="6"/>
  <c r="O48" i="6"/>
  <c r="Q48" i="6"/>
  <c r="W48" i="6"/>
  <c r="AH48" i="6"/>
  <c r="AJ48" i="6"/>
  <c r="I49" i="6"/>
  <c r="J49" i="6"/>
  <c r="K49" i="6"/>
  <c r="L49" i="6"/>
  <c r="X49" i="6"/>
  <c r="M49" i="6"/>
  <c r="G49" i="6"/>
  <c r="N49" i="6"/>
  <c r="AJ49" i="6"/>
  <c r="Y49" i="6"/>
  <c r="I50" i="6"/>
  <c r="C50" i="6"/>
  <c r="J50" i="6"/>
  <c r="P50" i="6"/>
  <c r="K50" i="6"/>
  <c r="L50" i="6"/>
  <c r="X50" i="6"/>
  <c r="M50" i="6"/>
  <c r="N50" i="6"/>
  <c r="T50" i="6"/>
  <c r="O50" i="6"/>
  <c r="AI50" i="6"/>
  <c r="I51" i="6"/>
  <c r="C51" i="6"/>
  <c r="J51" i="6"/>
  <c r="K51" i="6"/>
  <c r="E51" i="6"/>
  <c r="L51" i="6"/>
  <c r="M51" i="6"/>
  <c r="Y51" i="6"/>
  <c r="N51" i="6"/>
  <c r="T51" i="6"/>
  <c r="O51" i="6"/>
  <c r="U51" i="6"/>
  <c r="AF51" i="6"/>
  <c r="AJ51" i="6"/>
  <c r="AT51" i="6"/>
  <c r="I52" i="6"/>
  <c r="J52" i="6"/>
  <c r="K52" i="6"/>
  <c r="E52" i="6"/>
  <c r="L52" i="6"/>
  <c r="M52" i="6"/>
  <c r="N52" i="6"/>
  <c r="P52" i="6"/>
  <c r="X52" i="6"/>
  <c r="AJ52" i="6"/>
  <c r="I53" i="6"/>
  <c r="J53" i="6"/>
  <c r="K53" i="6"/>
  <c r="AH53" i="6"/>
  <c r="L53" i="6"/>
  <c r="M53" i="6"/>
  <c r="AI53" i="6"/>
  <c r="G53" i="6"/>
  <c r="N53" i="6"/>
  <c r="P53" i="6"/>
  <c r="S53" i="6"/>
  <c r="X53" i="6"/>
  <c r="Y53" i="6"/>
  <c r="AG53" i="6"/>
  <c r="I54" i="6"/>
  <c r="C54" i="6"/>
  <c r="J54" i="6"/>
  <c r="K54" i="6"/>
  <c r="L54" i="6"/>
  <c r="M54" i="6"/>
  <c r="AI54" i="6"/>
  <c r="G54" i="6"/>
  <c r="N54" i="6"/>
  <c r="O54" i="6"/>
  <c r="Q54" i="6"/>
  <c r="T54" i="6"/>
  <c r="AJ54" i="6"/>
  <c r="AT54" i="6"/>
  <c r="I55" i="6"/>
  <c r="C55" i="6"/>
  <c r="J55" i="6"/>
  <c r="K55" i="6"/>
  <c r="E55" i="6"/>
  <c r="L55" i="6"/>
  <c r="M55" i="6"/>
  <c r="Y55" i="6"/>
  <c r="N55" i="6"/>
  <c r="O55" i="6"/>
  <c r="T55" i="6"/>
  <c r="AF55" i="6"/>
  <c r="AJ55" i="6"/>
  <c r="AT55" i="6"/>
  <c r="I56" i="6"/>
  <c r="J56" i="6"/>
  <c r="P56" i="6"/>
  <c r="K56" i="6"/>
  <c r="E56" i="6"/>
  <c r="L56" i="6"/>
  <c r="M56" i="6"/>
  <c r="G56" i="6"/>
  <c r="N56" i="6"/>
  <c r="S56" i="6"/>
  <c r="I57" i="6"/>
  <c r="J57" i="6"/>
  <c r="P57" i="6"/>
  <c r="K57" i="6"/>
  <c r="AH57" i="6"/>
  <c r="L57" i="6"/>
  <c r="M57" i="6"/>
  <c r="G57" i="6"/>
  <c r="N57" i="6"/>
  <c r="AJ57" i="6"/>
  <c r="X57" i="6"/>
  <c r="I58" i="6"/>
  <c r="C58" i="6"/>
  <c r="J58" i="6"/>
  <c r="P58" i="6"/>
  <c r="K58" i="6"/>
  <c r="L58" i="6"/>
  <c r="M58" i="6"/>
  <c r="G58" i="6"/>
  <c r="N58" i="6"/>
  <c r="T58" i="6"/>
  <c r="X58" i="6"/>
  <c r="I59" i="6"/>
  <c r="O59" i="6"/>
  <c r="J59" i="6"/>
  <c r="P59" i="6"/>
  <c r="K59" i="6"/>
  <c r="E59" i="6"/>
  <c r="L59" i="6"/>
  <c r="M59" i="6"/>
  <c r="Y59" i="6"/>
  <c r="N59" i="6"/>
  <c r="T59" i="6"/>
  <c r="Q59" i="6"/>
  <c r="U59" i="6"/>
  <c r="AH59" i="6"/>
  <c r="I60" i="6"/>
  <c r="C60" i="6"/>
  <c r="J60" i="6"/>
  <c r="P60" i="6"/>
  <c r="K60" i="6"/>
  <c r="E60" i="6"/>
  <c r="L60" i="6"/>
  <c r="X60" i="6"/>
  <c r="M60" i="6"/>
  <c r="N60" i="6"/>
  <c r="T60" i="6"/>
  <c r="Q60" i="6"/>
  <c r="W60" i="6"/>
  <c r="AF60" i="6"/>
  <c r="I61" i="6"/>
  <c r="C61" i="6"/>
  <c r="J61" i="6"/>
  <c r="K61" i="6"/>
  <c r="L61" i="6"/>
  <c r="M61" i="6"/>
  <c r="G61" i="6"/>
  <c r="N61" i="6"/>
  <c r="T61" i="6"/>
  <c r="P61" i="6"/>
  <c r="S61" i="6"/>
  <c r="U61" i="6"/>
  <c r="W61" i="6"/>
  <c r="AF61" i="6"/>
  <c r="AA61" i="6"/>
  <c r="I62" i="6"/>
  <c r="C62" i="6"/>
  <c r="J62" i="6"/>
  <c r="P62" i="6"/>
  <c r="K62" i="6"/>
  <c r="E62" i="6"/>
  <c r="L62" i="6"/>
  <c r="X62" i="6"/>
  <c r="M62" i="6"/>
  <c r="N62" i="6"/>
  <c r="T62" i="6"/>
  <c r="W62" i="6"/>
  <c r="AI62" i="6"/>
  <c r="I63" i="6"/>
  <c r="C63" i="6"/>
  <c r="J63" i="6"/>
  <c r="K63" i="6"/>
  <c r="L63" i="6"/>
  <c r="M63" i="6"/>
  <c r="G63" i="6"/>
  <c r="N63" i="6"/>
  <c r="T63" i="6"/>
  <c r="O63" i="6"/>
  <c r="P63" i="6"/>
  <c r="S63" i="6"/>
  <c r="U63" i="6"/>
  <c r="W63" i="6"/>
  <c r="AF63" i="6"/>
  <c r="AA63" i="6"/>
  <c r="AK63" i="6"/>
  <c r="I64" i="6"/>
  <c r="J64" i="6"/>
  <c r="D64" i="6"/>
  <c r="K64" i="6"/>
  <c r="Q64" i="6"/>
  <c r="L64" i="6"/>
  <c r="M64" i="6"/>
  <c r="N64" i="6"/>
  <c r="H64" i="6"/>
  <c r="P64" i="6"/>
  <c r="AF64" i="6"/>
  <c r="AP64" i="6"/>
  <c r="AK64" i="6"/>
  <c r="I65" i="6"/>
  <c r="C65" i="6"/>
  <c r="J65" i="6"/>
  <c r="P65" i="6"/>
  <c r="K65" i="6"/>
  <c r="E65" i="6"/>
  <c r="L65" i="6"/>
  <c r="M65" i="6"/>
  <c r="N65" i="6"/>
  <c r="T65" i="6"/>
  <c r="Q65" i="6"/>
  <c r="U65" i="6"/>
  <c r="Y65" i="6"/>
  <c r="AJ65" i="6"/>
  <c r="AT65" i="6"/>
  <c r="I66" i="6"/>
  <c r="O66" i="6"/>
  <c r="J66" i="6"/>
  <c r="P66" i="6"/>
  <c r="K66" i="6"/>
  <c r="E66" i="6"/>
  <c r="L66" i="6"/>
  <c r="M66" i="6"/>
  <c r="G66" i="6"/>
  <c r="N66" i="6"/>
  <c r="AJ66" i="6"/>
  <c r="X66" i="6"/>
  <c r="I67" i="6"/>
  <c r="J67" i="6"/>
  <c r="P67" i="6"/>
  <c r="K67" i="6"/>
  <c r="AH67" i="6"/>
  <c r="L67" i="6"/>
  <c r="X67" i="6"/>
  <c r="M67" i="6"/>
  <c r="G67" i="6"/>
  <c r="N67" i="6"/>
  <c r="AJ67" i="6"/>
  <c r="S67" i="6"/>
  <c r="Y67" i="6"/>
  <c r="I68" i="6"/>
  <c r="C68" i="6"/>
  <c r="J68" i="6"/>
  <c r="K68" i="6"/>
  <c r="L68" i="6"/>
  <c r="M68" i="6"/>
  <c r="G68" i="6"/>
  <c r="N68" i="6"/>
  <c r="P68" i="6"/>
  <c r="Q68" i="6"/>
  <c r="W68" i="6"/>
  <c r="X68" i="6"/>
  <c r="AJ68" i="6"/>
  <c r="AT68" i="6"/>
  <c r="I69" i="6"/>
  <c r="C69" i="6"/>
  <c r="J69" i="6"/>
  <c r="P69" i="6"/>
  <c r="K69" i="6"/>
  <c r="E69" i="6"/>
  <c r="L69" i="6"/>
  <c r="M69" i="6"/>
  <c r="N69" i="6"/>
  <c r="T69" i="6"/>
  <c r="Q69" i="6"/>
  <c r="U69" i="6"/>
  <c r="Y69" i="6"/>
  <c r="AJ69" i="6"/>
  <c r="AT69" i="6"/>
  <c r="I70" i="6"/>
  <c r="O70" i="6"/>
  <c r="J70" i="6"/>
  <c r="P70" i="6"/>
  <c r="K70" i="6"/>
  <c r="E70" i="6"/>
  <c r="L70" i="6"/>
  <c r="X70" i="6"/>
  <c r="M70" i="6"/>
  <c r="G70" i="6"/>
  <c r="N70" i="6"/>
  <c r="T70" i="6"/>
  <c r="S70" i="6"/>
  <c r="AG70" i="6"/>
  <c r="I71" i="6"/>
  <c r="J71" i="6"/>
  <c r="K71" i="6"/>
  <c r="AH71" i="6"/>
  <c r="AC71" i="6"/>
  <c r="E71" i="6"/>
  <c r="L71" i="6"/>
  <c r="M71" i="6"/>
  <c r="G71" i="6"/>
  <c r="N71" i="6"/>
  <c r="AJ71" i="6"/>
  <c r="P71" i="6"/>
  <c r="X71" i="6"/>
  <c r="I72" i="6"/>
  <c r="C72" i="6"/>
  <c r="J72" i="6"/>
  <c r="K72" i="6"/>
  <c r="Q72" i="6"/>
  <c r="L72" i="6"/>
  <c r="X72" i="6"/>
  <c r="M72" i="6"/>
  <c r="G72" i="6"/>
  <c r="N72" i="6"/>
  <c r="AJ72" i="6"/>
  <c r="AT72" i="6"/>
  <c r="W72" i="6"/>
  <c r="I73" i="6"/>
  <c r="C73" i="6"/>
  <c r="J73" i="6"/>
  <c r="K73" i="6"/>
  <c r="E73" i="6"/>
  <c r="L73" i="6"/>
  <c r="M73" i="6"/>
  <c r="Y73" i="6"/>
  <c r="N73" i="6"/>
  <c r="T73" i="6"/>
  <c r="U73" i="6"/>
  <c r="AJ73" i="6"/>
  <c r="I74" i="6"/>
  <c r="O74" i="6"/>
  <c r="J74" i="6"/>
  <c r="P74" i="6"/>
  <c r="K74" i="6"/>
  <c r="L74" i="6"/>
  <c r="M74" i="6"/>
  <c r="N74" i="6"/>
  <c r="X74" i="6"/>
  <c r="I75" i="6"/>
  <c r="J75" i="6"/>
  <c r="P75" i="6"/>
  <c r="K75" i="6"/>
  <c r="L75" i="6"/>
  <c r="X75" i="6"/>
  <c r="M75" i="6"/>
  <c r="N75" i="6"/>
  <c r="AI75" i="6"/>
  <c r="AD75" i="6"/>
  <c r="I76" i="6"/>
  <c r="C76" i="6"/>
  <c r="J76" i="6"/>
  <c r="K76" i="6"/>
  <c r="L76" i="6"/>
  <c r="F76" i="6"/>
  <c r="M76" i="6"/>
  <c r="G76" i="6"/>
  <c r="N76" i="6"/>
  <c r="H76" i="6"/>
  <c r="O76" i="6"/>
  <c r="T76" i="6"/>
  <c r="X76" i="6"/>
  <c r="AJ76" i="6"/>
  <c r="AT76" i="6"/>
  <c r="I77" i="6"/>
  <c r="J77" i="6"/>
  <c r="K77" i="6"/>
  <c r="Q77" i="6"/>
  <c r="L77" i="6"/>
  <c r="F77" i="6"/>
  <c r="M77" i="6"/>
  <c r="N77" i="6"/>
  <c r="H77" i="6"/>
  <c r="T77" i="6"/>
  <c r="I78" i="6"/>
  <c r="C78" i="6"/>
  <c r="J78" i="6"/>
  <c r="D78" i="6"/>
  <c r="K78" i="6"/>
  <c r="L78" i="6"/>
  <c r="F78" i="6"/>
  <c r="M78" i="6"/>
  <c r="N78" i="6"/>
  <c r="H78" i="6"/>
  <c r="O78" i="6"/>
  <c r="X78" i="6"/>
  <c r="I79" i="6"/>
  <c r="J79" i="6"/>
  <c r="K79" i="6"/>
  <c r="Q79" i="6"/>
  <c r="L79" i="6"/>
  <c r="F79" i="6"/>
  <c r="M79" i="6"/>
  <c r="Y79" i="6"/>
  <c r="N79" i="6"/>
  <c r="W79" i="6"/>
  <c r="AH79" i="6"/>
  <c r="AC79" i="6"/>
  <c r="I80" i="6"/>
  <c r="C80" i="6"/>
  <c r="J80" i="6"/>
  <c r="D80" i="6"/>
  <c r="K80" i="6"/>
  <c r="AH80" i="6"/>
  <c r="L80" i="6"/>
  <c r="F80" i="6"/>
  <c r="M80" i="6"/>
  <c r="N80" i="6"/>
  <c r="H80" i="6"/>
  <c r="T80" i="6"/>
  <c r="I81" i="6"/>
  <c r="J81" i="6"/>
  <c r="AG81" i="6"/>
  <c r="D81" i="6"/>
  <c r="K81" i="6"/>
  <c r="Q81" i="6"/>
  <c r="L81" i="6"/>
  <c r="F81" i="6"/>
  <c r="M81" i="6"/>
  <c r="N81" i="6"/>
  <c r="H81" i="6"/>
  <c r="P81" i="6"/>
  <c r="I82" i="6"/>
  <c r="C82" i="6"/>
  <c r="J82" i="6"/>
  <c r="D82" i="6"/>
  <c r="K82" i="6"/>
  <c r="W82" i="6"/>
  <c r="L82" i="6"/>
  <c r="F82" i="6"/>
  <c r="M82" i="6"/>
  <c r="G82" i="6"/>
  <c r="N82" i="6"/>
  <c r="H82" i="6"/>
  <c r="O82" i="6"/>
  <c r="S82" i="6"/>
  <c r="AF82" i="6"/>
  <c r="AJ82" i="6"/>
  <c r="I83" i="6"/>
  <c r="J83" i="6"/>
  <c r="D83" i="6"/>
  <c r="K83" i="6"/>
  <c r="Q83" i="6"/>
  <c r="E83" i="6"/>
  <c r="L83" i="6"/>
  <c r="F83" i="6"/>
  <c r="M83" i="6"/>
  <c r="N83" i="6"/>
  <c r="H83" i="6"/>
  <c r="W83" i="6"/>
  <c r="X83" i="6"/>
  <c r="AH83" i="6"/>
  <c r="AC83" i="6"/>
  <c r="AM83" i="6"/>
  <c r="I84" i="6"/>
  <c r="C84" i="6"/>
  <c r="J84" i="6"/>
  <c r="K84" i="6"/>
  <c r="W84" i="6"/>
  <c r="L84" i="6"/>
  <c r="F84" i="6"/>
  <c r="M84" i="6"/>
  <c r="G84" i="6"/>
  <c r="N84" i="6"/>
  <c r="H84" i="6"/>
  <c r="AH84" i="6"/>
  <c r="AM84" i="6"/>
  <c r="I85" i="6"/>
  <c r="J85" i="6"/>
  <c r="D85" i="6"/>
  <c r="K85" i="6"/>
  <c r="Q85" i="6"/>
  <c r="E85" i="6"/>
  <c r="L85" i="6"/>
  <c r="F85" i="6"/>
  <c r="M85" i="6"/>
  <c r="N85" i="6"/>
  <c r="H85" i="6"/>
  <c r="X85" i="6"/>
  <c r="I86" i="6"/>
  <c r="C86" i="6"/>
  <c r="J86" i="6"/>
  <c r="K86" i="6"/>
  <c r="L86" i="6"/>
  <c r="F86" i="6"/>
  <c r="M86" i="6"/>
  <c r="G86" i="6"/>
  <c r="N86" i="6"/>
  <c r="H86" i="6"/>
  <c r="O86" i="6"/>
  <c r="S86" i="6"/>
  <c r="X86" i="6"/>
  <c r="AF86" i="6"/>
  <c r="AK86" i="6"/>
  <c r="I87" i="6"/>
  <c r="J87" i="6"/>
  <c r="D87" i="6"/>
  <c r="K87" i="6"/>
  <c r="L87" i="6"/>
  <c r="M87" i="6"/>
  <c r="N87" i="6"/>
  <c r="H87" i="6"/>
  <c r="AJ87" i="6"/>
  <c r="AE87" i="6"/>
  <c r="I88" i="6"/>
  <c r="U88" i="6"/>
  <c r="C88" i="6"/>
  <c r="J88" i="6"/>
  <c r="D88" i="6"/>
  <c r="K88" i="6"/>
  <c r="W88" i="6"/>
  <c r="L88" i="6"/>
  <c r="F88" i="6"/>
  <c r="M88" i="6"/>
  <c r="N88" i="6"/>
  <c r="H88" i="6"/>
  <c r="O88" i="6"/>
  <c r="AF88" i="6"/>
  <c r="AP88" i="6"/>
  <c r="AJ88" i="6"/>
  <c r="AT88" i="6"/>
  <c r="AO88" i="6"/>
  <c r="I89" i="6"/>
  <c r="J89" i="6"/>
  <c r="K89" i="6"/>
  <c r="E89" i="6"/>
  <c r="L89" i="6"/>
  <c r="M89" i="6"/>
  <c r="N89" i="6"/>
  <c r="P89" i="6"/>
  <c r="Q89" i="6"/>
  <c r="S89" i="6"/>
  <c r="W89" i="6"/>
  <c r="X89" i="6"/>
  <c r="AH89" i="6"/>
  <c r="AM89" i="6"/>
  <c r="AC89" i="6"/>
  <c r="I90" i="6"/>
  <c r="J90" i="6"/>
  <c r="P90" i="6"/>
  <c r="K90" i="6"/>
  <c r="E90" i="6"/>
  <c r="L90" i="6"/>
  <c r="M90" i="6"/>
  <c r="N90" i="6"/>
  <c r="AJ90" i="6"/>
  <c r="Q90" i="6"/>
  <c r="T90" i="6"/>
  <c r="AH90" i="6"/>
  <c r="AC90" i="6"/>
  <c r="AE90" i="6"/>
  <c r="I91" i="6"/>
  <c r="J91" i="6"/>
  <c r="K91" i="6"/>
  <c r="AH91" i="6"/>
  <c r="AR91" i="6"/>
  <c r="E91" i="6"/>
  <c r="L91" i="6"/>
  <c r="X91" i="6"/>
  <c r="M91" i="6"/>
  <c r="N91" i="6"/>
  <c r="Q91" i="6"/>
  <c r="W91" i="6"/>
  <c r="I92" i="6"/>
  <c r="O92" i="6"/>
  <c r="J92" i="6"/>
  <c r="K92" i="6"/>
  <c r="L92" i="6"/>
  <c r="X92" i="6"/>
  <c r="M92" i="6"/>
  <c r="Y92" i="6"/>
  <c r="N92" i="6"/>
  <c r="H92" i="6"/>
  <c r="S92" i="6"/>
  <c r="V92" i="6"/>
  <c r="Z92" i="6"/>
  <c r="AJ92" i="6"/>
  <c r="AO92" i="6"/>
  <c r="I93" i="6"/>
  <c r="U93" i="6"/>
  <c r="C93" i="6"/>
  <c r="J93" i="6"/>
  <c r="K93" i="6"/>
  <c r="Q93" i="6"/>
  <c r="L93" i="6"/>
  <c r="F93" i="6"/>
  <c r="M93" i="6"/>
  <c r="S93" i="6"/>
  <c r="N93" i="6"/>
  <c r="O93" i="6"/>
  <c r="W93" i="6"/>
  <c r="AF93" i="6"/>
  <c r="AK93" i="6"/>
  <c r="AA93" i="6"/>
  <c r="I94" i="6"/>
  <c r="J94" i="6"/>
  <c r="K94" i="6"/>
  <c r="Q94" i="6"/>
  <c r="L94" i="6"/>
  <c r="M94" i="6"/>
  <c r="G94" i="6"/>
  <c r="N94" i="6"/>
  <c r="H94" i="6"/>
  <c r="R94" i="6"/>
  <c r="T94" i="6"/>
  <c r="AF94" i="6"/>
  <c r="AJ94" i="6"/>
  <c r="AO94" i="6"/>
  <c r="I95" i="6"/>
  <c r="O95" i="6"/>
  <c r="J95" i="6"/>
  <c r="D95" i="6"/>
  <c r="K95" i="6"/>
  <c r="Q95" i="6"/>
  <c r="L95" i="6"/>
  <c r="F95" i="6"/>
  <c r="M95" i="6"/>
  <c r="Y95" i="6"/>
  <c r="G95" i="6"/>
  <c r="N95" i="6"/>
  <c r="H95" i="6"/>
  <c r="S95" i="6"/>
  <c r="T95" i="6"/>
  <c r="W95" i="6"/>
  <c r="Z95" i="6"/>
  <c r="AH95" i="6"/>
  <c r="AC95" i="6"/>
  <c r="AJ95" i="6"/>
  <c r="AT95" i="6"/>
  <c r="I96" i="6"/>
  <c r="U96" i="6"/>
  <c r="C96" i="6"/>
  <c r="J96" i="6"/>
  <c r="D96" i="6"/>
  <c r="K96" i="6"/>
  <c r="Q96" i="6"/>
  <c r="E96" i="6"/>
  <c r="L96" i="6"/>
  <c r="F96" i="6"/>
  <c r="M96" i="6"/>
  <c r="Y96" i="6"/>
  <c r="G96" i="6"/>
  <c r="N96" i="6"/>
  <c r="H96" i="6"/>
  <c r="O96" i="6"/>
  <c r="R96" i="6"/>
  <c r="S96" i="6"/>
  <c r="T96" i="6"/>
  <c r="W96" i="6"/>
  <c r="X96" i="6"/>
  <c r="AF96" i="6"/>
  <c r="AK96" i="6"/>
  <c r="AA96" i="6"/>
  <c r="AH96" i="6"/>
  <c r="AI96" i="6"/>
  <c r="I97" i="6"/>
  <c r="J97" i="6"/>
  <c r="D97" i="6"/>
  <c r="K97" i="6"/>
  <c r="AH97" i="6"/>
  <c r="L97" i="6"/>
  <c r="F97" i="6"/>
  <c r="M97" i="6"/>
  <c r="Y97" i="6"/>
  <c r="N97" i="6"/>
  <c r="H97" i="6"/>
  <c r="W97" i="6"/>
  <c r="I98" i="6"/>
  <c r="AF98" i="6"/>
  <c r="J98" i="6"/>
  <c r="K98" i="6"/>
  <c r="L98" i="6"/>
  <c r="M98" i="6"/>
  <c r="N98" i="6"/>
  <c r="AJ98" i="6"/>
  <c r="AH98" i="6"/>
  <c r="AM98" i="6"/>
  <c r="I99" i="6"/>
  <c r="C99" i="6"/>
  <c r="J99" i="6"/>
  <c r="K99" i="6"/>
  <c r="E99" i="6"/>
  <c r="L99" i="6"/>
  <c r="M99" i="6"/>
  <c r="G99" i="6"/>
  <c r="N99" i="6"/>
  <c r="AJ99" i="6"/>
  <c r="Q99" i="6"/>
  <c r="U99" i="6"/>
  <c r="I100" i="6"/>
  <c r="O100" i="6"/>
  <c r="J100" i="6"/>
  <c r="K100" i="6"/>
  <c r="M100" i="6"/>
  <c r="N100" i="6"/>
  <c r="AJ100" i="6"/>
  <c r="Q100" i="6"/>
  <c r="R100" i="6"/>
  <c r="X100" i="6"/>
  <c r="I101" i="6"/>
  <c r="J101" i="6"/>
  <c r="K101" i="6"/>
  <c r="E101" i="6"/>
  <c r="L101" i="6"/>
  <c r="M101" i="6"/>
  <c r="G101" i="6"/>
  <c r="N101" i="6"/>
  <c r="Z101" i="6"/>
  <c r="S101" i="6"/>
  <c r="W101" i="6"/>
  <c r="AH101" i="6"/>
  <c r="I102" i="6"/>
  <c r="J102" i="6"/>
  <c r="K102" i="6"/>
  <c r="AH102" i="6"/>
  <c r="L102" i="6"/>
  <c r="R102" i="6"/>
  <c r="M102" i="6"/>
  <c r="N102" i="6"/>
  <c r="AJ102" i="6"/>
  <c r="W102" i="6"/>
  <c r="I103" i="6"/>
  <c r="C103" i="6"/>
  <c r="J103" i="6"/>
  <c r="K103" i="6"/>
  <c r="L103" i="6"/>
  <c r="M103" i="6"/>
  <c r="G103" i="6"/>
  <c r="N103" i="6"/>
  <c r="O103" i="6"/>
  <c r="AF103" i="6"/>
  <c r="AK103" i="6"/>
  <c r="AJ103" i="6"/>
  <c r="I104" i="6"/>
  <c r="C104" i="6"/>
  <c r="J104" i="6"/>
  <c r="K104" i="6"/>
  <c r="E104" i="6"/>
  <c r="L104" i="6"/>
  <c r="M104" i="6"/>
  <c r="AI104" i="6"/>
  <c r="N104" i="6"/>
  <c r="AJ104" i="6"/>
  <c r="W104" i="6"/>
  <c r="AH104" i="6"/>
  <c r="AM104" i="6"/>
  <c r="I105" i="6"/>
  <c r="C105" i="6"/>
  <c r="J105" i="6"/>
  <c r="K105" i="6"/>
  <c r="L105" i="6"/>
  <c r="M105" i="6"/>
  <c r="N105" i="6"/>
  <c r="O105" i="6"/>
  <c r="AF105" i="6"/>
  <c r="AK105" i="6"/>
  <c r="AJ105" i="6"/>
  <c r="I106" i="6"/>
  <c r="C106" i="6"/>
  <c r="J106" i="6"/>
  <c r="K106" i="6"/>
  <c r="L106" i="6"/>
  <c r="M106" i="6"/>
  <c r="AI106" i="6"/>
  <c r="G106" i="6"/>
  <c r="N106" i="6"/>
  <c r="AJ106" i="6"/>
  <c r="AH106" i="6"/>
  <c r="AM106" i="6"/>
  <c r="I107" i="6"/>
  <c r="C107" i="6"/>
  <c r="J107" i="6"/>
  <c r="K107" i="6"/>
  <c r="E107" i="6"/>
  <c r="L107" i="6"/>
  <c r="M107" i="6"/>
  <c r="Y107" i="6"/>
  <c r="N107" i="6"/>
  <c r="S107" i="6"/>
  <c r="X107" i="6"/>
  <c r="I108" i="6"/>
  <c r="O108" i="6"/>
  <c r="J108" i="6"/>
  <c r="K108" i="6"/>
  <c r="E108" i="6"/>
  <c r="L108" i="6"/>
  <c r="M108" i="6"/>
  <c r="S108" i="6"/>
  <c r="G108" i="6"/>
  <c r="N108" i="6"/>
  <c r="T108" i="6"/>
  <c r="W108" i="6"/>
  <c r="L12" i="3"/>
  <c r="L13" i="3"/>
  <c r="L14" i="3"/>
  <c r="L10" i="3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7" i="5"/>
  <c r="F63" i="3"/>
  <c r="AT71" i="6"/>
  <c r="AE71" i="6"/>
  <c r="AO71" i="6"/>
  <c r="D100" i="6"/>
  <c r="G97" i="6"/>
  <c r="AI97" i="6"/>
  <c r="U97" i="6"/>
  <c r="AM91" i="6"/>
  <c r="AG87" i="6"/>
  <c r="C87" i="6"/>
  <c r="Q86" i="6"/>
  <c r="U81" i="6"/>
  <c r="C81" i="6"/>
  <c r="AF81" i="6"/>
  <c r="AO76" i="6"/>
  <c r="D108" i="6"/>
  <c r="AI107" i="6"/>
  <c r="W107" i="6"/>
  <c r="Q107" i="6"/>
  <c r="G107" i="6"/>
  <c r="D107" i="6"/>
  <c r="Y106" i="6"/>
  <c r="Q106" i="6"/>
  <c r="R106" i="6"/>
  <c r="AG105" i="6"/>
  <c r="U105" i="6"/>
  <c r="H105" i="6"/>
  <c r="Z105" i="6"/>
  <c r="T105" i="6"/>
  <c r="D105" i="6"/>
  <c r="V105" i="6"/>
  <c r="P105" i="6"/>
  <c r="Q104" i="6"/>
  <c r="F104" i="6"/>
  <c r="R104" i="6"/>
  <c r="X104" i="6"/>
  <c r="AG103" i="6"/>
  <c r="U103" i="6"/>
  <c r="H103" i="6"/>
  <c r="Z103" i="6"/>
  <c r="T103" i="6"/>
  <c r="D103" i="6"/>
  <c r="V103" i="6"/>
  <c r="P103" i="6"/>
  <c r="AI102" i="6"/>
  <c r="Y102" i="6"/>
  <c r="F102" i="6"/>
  <c r="X102" i="6"/>
  <c r="D101" i="6"/>
  <c r="V101" i="6"/>
  <c r="P101" i="6"/>
  <c r="S100" i="6"/>
  <c r="H100" i="6"/>
  <c r="Z100" i="6"/>
  <c r="T100" i="6"/>
  <c r="S97" i="6"/>
  <c r="F92" i="6"/>
  <c r="AI92" i="6"/>
  <c r="G91" i="6"/>
  <c r="D91" i="6"/>
  <c r="V91" i="6"/>
  <c r="AP86" i="6"/>
  <c r="AA86" i="6"/>
  <c r="U83" i="6"/>
  <c r="AG83" i="6"/>
  <c r="AF83" i="6"/>
  <c r="C83" i="6"/>
  <c r="O83" i="6"/>
  <c r="Q82" i="6"/>
  <c r="E82" i="6"/>
  <c r="AI79" i="6"/>
  <c r="S79" i="6"/>
  <c r="U77" i="6"/>
  <c r="AG77" i="6"/>
  <c r="C77" i="6"/>
  <c r="O77" i="6"/>
  <c r="AF77" i="6"/>
  <c r="D73" i="6"/>
  <c r="V73" i="6"/>
  <c r="AG73" i="6"/>
  <c r="U70" i="6"/>
  <c r="AF70" i="6"/>
  <c r="C70" i="6"/>
  <c r="F69" i="6"/>
  <c r="R69" i="6"/>
  <c r="X69" i="6"/>
  <c r="AI69" i="6"/>
  <c r="H67" i="6"/>
  <c r="Z67" i="6"/>
  <c r="T67" i="6"/>
  <c r="AG66" i="6"/>
  <c r="H107" i="6"/>
  <c r="AT102" i="6"/>
  <c r="AC101" i="6"/>
  <c r="E98" i="6"/>
  <c r="Q98" i="6"/>
  <c r="H91" i="6"/>
  <c r="Z91" i="6"/>
  <c r="T91" i="6"/>
  <c r="C89" i="6"/>
  <c r="O89" i="6"/>
  <c r="Y83" i="6"/>
  <c r="AI83" i="6"/>
  <c r="G83" i="6"/>
  <c r="S83" i="6"/>
  <c r="AT82" i="6"/>
  <c r="AO82" i="6"/>
  <c r="AE82" i="6"/>
  <c r="AC80" i="6"/>
  <c r="AR80" i="6"/>
  <c r="Q80" i="6"/>
  <c r="E80" i="6"/>
  <c r="Y77" i="6"/>
  <c r="AI77" i="6"/>
  <c r="G77" i="6"/>
  <c r="S77" i="6"/>
  <c r="H75" i="6"/>
  <c r="Z75" i="6"/>
  <c r="T75" i="6"/>
  <c r="D72" i="6"/>
  <c r="V72" i="6"/>
  <c r="AG72" i="6"/>
  <c r="AT67" i="6"/>
  <c r="AE67" i="6"/>
  <c r="AO67" i="6"/>
  <c r="U66" i="6"/>
  <c r="AF66" i="6"/>
  <c r="C66" i="6"/>
  <c r="F65" i="6"/>
  <c r="R65" i="6"/>
  <c r="X65" i="6"/>
  <c r="AI65" i="6"/>
  <c r="AD62" i="6"/>
  <c r="AN62" i="6"/>
  <c r="AS62" i="6"/>
  <c r="AH108" i="6"/>
  <c r="F108" i="6"/>
  <c r="R108" i="6"/>
  <c r="AC106" i="6"/>
  <c r="AR106" i="6"/>
  <c r="O106" i="6"/>
  <c r="AT105" i="6"/>
  <c r="AE105" i="6"/>
  <c r="AP105" i="6"/>
  <c r="AA105" i="6"/>
  <c r="AC104" i="6"/>
  <c r="AR104" i="6"/>
  <c r="O104" i="6"/>
  <c r="AT103" i="6"/>
  <c r="AE103" i="6"/>
  <c r="AP103" i="6"/>
  <c r="AA103" i="6"/>
  <c r="O102" i="6"/>
  <c r="W98" i="6"/>
  <c r="G98" i="6"/>
  <c r="Y98" i="6"/>
  <c r="AI98" i="6"/>
  <c r="AS98" i="6"/>
  <c r="C98" i="6"/>
  <c r="U98" i="6"/>
  <c r="AG98" i="6"/>
  <c r="AQ98" i="6"/>
  <c r="O97" i="6"/>
  <c r="E97" i="6"/>
  <c r="Q97" i="6"/>
  <c r="E92" i="6"/>
  <c r="Q92" i="6"/>
  <c r="W92" i="6"/>
  <c r="AH92" i="6"/>
  <c r="AJ91" i="6"/>
  <c r="C91" i="6"/>
  <c r="O91" i="6"/>
  <c r="F90" i="6"/>
  <c r="R90" i="6"/>
  <c r="X90" i="6"/>
  <c r="AG89" i="6"/>
  <c r="U89" i="6"/>
  <c r="H89" i="6"/>
  <c r="Z89" i="6"/>
  <c r="T89" i="6"/>
  <c r="Q88" i="6"/>
  <c r="E88" i="6"/>
  <c r="Y85" i="6"/>
  <c r="AI85" i="6"/>
  <c r="G85" i="6"/>
  <c r="S85" i="6"/>
  <c r="AP82" i="6"/>
  <c r="AK82" i="6"/>
  <c r="AA82" i="6"/>
  <c r="AM80" i="6"/>
  <c r="U79" i="6"/>
  <c r="AG79" i="6"/>
  <c r="AF79" i="6"/>
  <c r="C79" i="6"/>
  <c r="O79" i="6"/>
  <c r="Q78" i="6"/>
  <c r="E78" i="6"/>
  <c r="D76" i="6"/>
  <c r="V76" i="6"/>
  <c r="AG76" i="6"/>
  <c r="P76" i="6"/>
  <c r="P72" i="6"/>
  <c r="H71" i="6"/>
  <c r="Z71" i="6"/>
  <c r="T71" i="6"/>
  <c r="AB70" i="6"/>
  <c r="AL70" i="6"/>
  <c r="AQ70" i="6"/>
  <c r="D68" i="6"/>
  <c r="V68" i="6"/>
  <c r="AG68" i="6"/>
  <c r="D65" i="6"/>
  <c r="V65" i="6"/>
  <c r="AG65" i="6"/>
  <c r="H56" i="6"/>
  <c r="Z56" i="6"/>
  <c r="AJ56" i="6"/>
  <c r="T56" i="6"/>
  <c r="AP55" i="6"/>
  <c r="AA55" i="6"/>
  <c r="AK55" i="6"/>
  <c r="H53" i="6"/>
  <c r="Z53" i="6"/>
  <c r="T53" i="6"/>
  <c r="AJ53" i="6"/>
  <c r="AG108" i="6"/>
  <c r="X108" i="6"/>
  <c r="H108" i="6"/>
  <c r="Z108" i="6"/>
  <c r="AJ108" i="6"/>
  <c r="AH107" i="6"/>
  <c r="T107" i="6"/>
  <c r="O107" i="6"/>
  <c r="F107" i="6"/>
  <c r="R107" i="6"/>
  <c r="AG106" i="6"/>
  <c r="U106" i="6"/>
  <c r="H106" i="6"/>
  <c r="Z106" i="6"/>
  <c r="T106" i="6"/>
  <c r="D106" i="6"/>
  <c r="V106" i="6"/>
  <c r="P106" i="6"/>
  <c r="AO105" i="6"/>
  <c r="AI105" i="6"/>
  <c r="Y105" i="6"/>
  <c r="Q105" i="6"/>
  <c r="F105" i="6"/>
  <c r="R105" i="6"/>
  <c r="X105" i="6"/>
  <c r="AG104" i="6"/>
  <c r="U104" i="6"/>
  <c r="H104" i="6"/>
  <c r="Z104" i="6"/>
  <c r="T104" i="6"/>
  <c r="D104" i="6"/>
  <c r="V104" i="6"/>
  <c r="P104" i="6"/>
  <c r="AO103" i="6"/>
  <c r="AI103" i="6"/>
  <c r="Y103" i="6"/>
  <c r="Q103" i="6"/>
  <c r="F103" i="6"/>
  <c r="R103" i="6"/>
  <c r="X103" i="6"/>
  <c r="AG102" i="6"/>
  <c r="U102" i="6"/>
  <c r="H102" i="6"/>
  <c r="Z102" i="6"/>
  <c r="T102" i="6"/>
  <c r="D102" i="6"/>
  <c r="V102" i="6"/>
  <c r="P102" i="6"/>
  <c r="AI101" i="6"/>
  <c r="Y101" i="6"/>
  <c r="Q101" i="6"/>
  <c r="F101" i="6"/>
  <c r="R101" i="6"/>
  <c r="X101" i="6"/>
  <c r="AG100" i="6"/>
  <c r="S98" i="6"/>
  <c r="AF97" i="6"/>
  <c r="AC96" i="6"/>
  <c r="AM96" i="6"/>
  <c r="AR96" i="6"/>
  <c r="AC91" i="6"/>
  <c r="P91" i="6"/>
  <c r="AR90" i="6"/>
  <c r="AJ89" i="6"/>
  <c r="AF89" i="6"/>
  <c r="G89" i="6"/>
  <c r="Y89" i="6"/>
  <c r="D89" i="6"/>
  <c r="V89" i="6"/>
  <c r="Y87" i="6"/>
  <c r="AI87" i="6"/>
  <c r="G87" i="6"/>
  <c r="S87" i="6"/>
  <c r="W86" i="6"/>
  <c r="U85" i="6"/>
  <c r="AG85" i="6"/>
  <c r="C85" i="6"/>
  <c r="O85" i="6"/>
  <c r="AF85" i="6"/>
  <c r="AC84" i="6"/>
  <c r="AR84" i="6"/>
  <c r="Q84" i="6"/>
  <c r="E84" i="6"/>
  <c r="Y81" i="6"/>
  <c r="AI81" i="6"/>
  <c r="G81" i="6"/>
  <c r="S81" i="6"/>
  <c r="W80" i="6"/>
  <c r="AJ75" i="6"/>
  <c r="U74" i="6"/>
  <c r="AF74" i="6"/>
  <c r="C74" i="6"/>
  <c r="P73" i="6"/>
  <c r="F73" i="6"/>
  <c r="R73" i="6"/>
  <c r="X73" i="6"/>
  <c r="AI73" i="6"/>
  <c r="D69" i="6"/>
  <c r="V69" i="6"/>
  <c r="AG69" i="6"/>
  <c r="AT66" i="6"/>
  <c r="AE66" i="6"/>
  <c r="AO66" i="6"/>
  <c r="C57" i="6"/>
  <c r="O57" i="6"/>
  <c r="U57" i="6"/>
  <c r="AF57" i="6"/>
  <c r="AG57" i="6"/>
  <c r="H90" i="6"/>
  <c r="Z90" i="6"/>
  <c r="F89" i="6"/>
  <c r="R89" i="6"/>
  <c r="Y86" i="6"/>
  <c r="AI86" i="6"/>
  <c r="U84" i="6"/>
  <c r="AG84" i="6"/>
  <c r="Y82" i="6"/>
  <c r="AI82" i="6"/>
  <c r="U80" i="6"/>
  <c r="AG80" i="6"/>
  <c r="Y78" i="6"/>
  <c r="AI78" i="6"/>
  <c r="Y76" i="6"/>
  <c r="AI76" i="6"/>
  <c r="F74" i="6"/>
  <c r="R74" i="6"/>
  <c r="AI74" i="6"/>
  <c r="Y72" i="6"/>
  <c r="S72" i="6"/>
  <c r="F70" i="6"/>
  <c r="R70" i="6"/>
  <c r="AI70" i="6"/>
  <c r="Y68" i="6"/>
  <c r="S68" i="6"/>
  <c r="F66" i="6"/>
  <c r="R66" i="6"/>
  <c r="AI66" i="6"/>
  <c r="D63" i="6"/>
  <c r="V63" i="6"/>
  <c r="AG63" i="6"/>
  <c r="D61" i="6"/>
  <c r="V61" i="6"/>
  <c r="AG61" i="6"/>
  <c r="O99" i="6"/>
  <c r="AP96" i="6"/>
  <c r="AG96" i="6"/>
  <c r="AI95" i="6"/>
  <c r="AG95" i="6"/>
  <c r="AI94" i="6"/>
  <c r="AG94" i="6"/>
  <c r="AI93" i="6"/>
  <c r="AG93" i="6"/>
  <c r="AG92" i="6"/>
  <c r="F91" i="6"/>
  <c r="R91" i="6"/>
  <c r="AF90" i="6"/>
  <c r="D90" i="6"/>
  <c r="V90" i="6"/>
  <c r="AR89" i="6"/>
  <c r="AI89" i="6"/>
  <c r="AG88" i="6"/>
  <c r="AT87" i="6"/>
  <c r="AO87" i="6"/>
  <c r="U86" i="6"/>
  <c r="AG86" i="6"/>
  <c r="AH85" i="6"/>
  <c r="W85" i="6"/>
  <c r="Y84" i="6"/>
  <c r="AI84" i="6"/>
  <c r="U82" i="6"/>
  <c r="AG82" i="6"/>
  <c r="AH81" i="6"/>
  <c r="W81" i="6"/>
  <c r="Y80" i="6"/>
  <c r="AI80" i="6"/>
  <c r="U78" i="6"/>
  <c r="AG78" i="6"/>
  <c r="AH77" i="6"/>
  <c r="W77" i="6"/>
  <c r="S76" i="6"/>
  <c r="E76" i="6"/>
  <c r="Q76" i="6"/>
  <c r="U75" i="6"/>
  <c r="AF75" i="6"/>
  <c r="C75" i="6"/>
  <c r="O75" i="6"/>
  <c r="H74" i="6"/>
  <c r="Z74" i="6"/>
  <c r="S73" i="6"/>
  <c r="G73" i="6"/>
  <c r="AH72" i="6"/>
  <c r="E72" i="6"/>
  <c r="AR71" i="6"/>
  <c r="U71" i="6"/>
  <c r="AF71" i="6"/>
  <c r="C71" i="6"/>
  <c r="O71" i="6"/>
  <c r="H70" i="6"/>
  <c r="Z70" i="6"/>
  <c r="S69" i="6"/>
  <c r="G69" i="6"/>
  <c r="AH68" i="6"/>
  <c r="E68" i="6"/>
  <c r="U67" i="6"/>
  <c r="AF67" i="6"/>
  <c r="C67" i="6"/>
  <c r="O67" i="6"/>
  <c r="H66" i="6"/>
  <c r="Z66" i="6"/>
  <c r="S65" i="6"/>
  <c r="G65" i="6"/>
  <c r="Y64" i="6"/>
  <c r="AI64" i="6"/>
  <c r="G64" i="6"/>
  <c r="S64" i="6"/>
  <c r="D62" i="6"/>
  <c r="V62" i="6"/>
  <c r="AG62" i="6"/>
  <c r="D60" i="6"/>
  <c r="V60" i="6"/>
  <c r="AG60" i="6"/>
  <c r="AD54" i="6"/>
  <c r="AN54" i="6"/>
  <c r="AS54" i="6"/>
  <c r="D54" i="6"/>
  <c r="V54" i="6"/>
  <c r="AG54" i="6"/>
  <c r="P54" i="6"/>
  <c r="AT49" i="6"/>
  <c r="AE49" i="6"/>
  <c r="AO49" i="6"/>
  <c r="F75" i="6"/>
  <c r="R75" i="6"/>
  <c r="D74" i="6"/>
  <c r="V74" i="6"/>
  <c r="H72" i="6"/>
  <c r="Z72" i="6"/>
  <c r="F71" i="6"/>
  <c r="R71" i="6"/>
  <c r="D70" i="6"/>
  <c r="V70" i="6"/>
  <c r="H68" i="6"/>
  <c r="Z68" i="6"/>
  <c r="F67" i="6"/>
  <c r="R67" i="6"/>
  <c r="D66" i="6"/>
  <c r="V66" i="6"/>
  <c r="AM59" i="6"/>
  <c r="AR59" i="6"/>
  <c r="U56" i="6"/>
  <c r="AF56" i="6"/>
  <c r="C56" i="6"/>
  <c r="O56" i="6"/>
  <c r="AG56" i="6"/>
  <c r="D55" i="6"/>
  <c r="V55" i="6"/>
  <c r="AG55" i="6"/>
  <c r="P55" i="6"/>
  <c r="G51" i="6"/>
  <c r="S51" i="6"/>
  <c r="F48" i="6"/>
  <c r="R48" i="6"/>
  <c r="AI48" i="6"/>
  <c r="X48" i="6"/>
  <c r="C48" i="6"/>
  <c r="U48" i="6"/>
  <c r="AF48" i="6"/>
  <c r="F47" i="6"/>
  <c r="R47" i="6"/>
  <c r="AI47" i="6"/>
  <c r="X47" i="6"/>
  <c r="Z88" i="6"/>
  <c r="V88" i="6"/>
  <c r="R88" i="6"/>
  <c r="Z87" i="6"/>
  <c r="V87" i="6"/>
  <c r="R87" i="6"/>
  <c r="Z86" i="6"/>
  <c r="V86" i="6"/>
  <c r="R86" i="6"/>
  <c r="Z85" i="6"/>
  <c r="V85" i="6"/>
  <c r="R85" i="6"/>
  <c r="Z84" i="6"/>
  <c r="V84" i="6"/>
  <c r="R84" i="6"/>
  <c r="Z83" i="6"/>
  <c r="V83" i="6"/>
  <c r="R83" i="6"/>
  <c r="Z82" i="6"/>
  <c r="V82" i="6"/>
  <c r="R82" i="6"/>
  <c r="Z81" i="6"/>
  <c r="V81" i="6"/>
  <c r="R81" i="6"/>
  <c r="Z80" i="6"/>
  <c r="V80" i="6"/>
  <c r="R80" i="6"/>
  <c r="Z79" i="6"/>
  <c r="V79" i="6"/>
  <c r="R79" i="6"/>
  <c r="Z78" i="6"/>
  <c r="V78" i="6"/>
  <c r="R78" i="6"/>
  <c r="Z77" i="6"/>
  <c r="V77" i="6"/>
  <c r="R77" i="6"/>
  <c r="Z76" i="6"/>
  <c r="D75" i="6"/>
  <c r="V75" i="6"/>
  <c r="H73" i="6"/>
  <c r="Z73" i="6"/>
  <c r="AO72" i="6"/>
  <c r="AE72" i="6"/>
  <c r="T72" i="6"/>
  <c r="O72" i="6"/>
  <c r="F72" i="6"/>
  <c r="R72" i="6"/>
  <c r="D71" i="6"/>
  <c r="V71" i="6"/>
  <c r="H69" i="6"/>
  <c r="Z69" i="6"/>
  <c r="AO68" i="6"/>
  <c r="AE68" i="6"/>
  <c r="T68" i="6"/>
  <c r="O68" i="6"/>
  <c r="F68" i="6"/>
  <c r="R68" i="6"/>
  <c r="D67" i="6"/>
  <c r="V67" i="6"/>
  <c r="H65" i="6"/>
  <c r="Z65" i="6"/>
  <c r="AA64" i="6"/>
  <c r="E64" i="6"/>
  <c r="U64" i="6"/>
  <c r="AG64" i="6"/>
  <c r="AC59" i="6"/>
  <c r="E58" i="6"/>
  <c r="AH58" i="6"/>
  <c r="W58" i="6"/>
  <c r="Q58" i="6"/>
  <c r="AB53" i="6"/>
  <c r="AL53" i="6"/>
  <c r="AQ53" i="6"/>
  <c r="AT52" i="6"/>
  <c r="AO52" i="6"/>
  <c r="AE52" i="6"/>
  <c r="F59" i="6"/>
  <c r="R59" i="6"/>
  <c r="AI59" i="6"/>
  <c r="X59" i="6"/>
  <c r="AT57" i="6"/>
  <c r="AE57" i="6"/>
  <c r="AO57" i="6"/>
  <c r="F56" i="6"/>
  <c r="R56" i="6"/>
  <c r="AI56" i="6"/>
  <c r="E54" i="6"/>
  <c r="AH54" i="6"/>
  <c r="C53" i="6"/>
  <c r="O53" i="6"/>
  <c r="U53" i="6"/>
  <c r="AF53" i="6"/>
  <c r="H52" i="6"/>
  <c r="Z52" i="6"/>
  <c r="U52" i="6"/>
  <c r="AF52" i="6"/>
  <c r="AP51" i="6"/>
  <c r="AA51" i="6"/>
  <c r="D51" i="6"/>
  <c r="V51" i="6"/>
  <c r="AG51" i="6"/>
  <c r="AD50" i="6"/>
  <c r="AN50" i="6"/>
  <c r="AS50" i="6"/>
  <c r="S50" i="6"/>
  <c r="Y50" i="6"/>
  <c r="AC48" i="6"/>
  <c r="AM48" i="6"/>
  <c r="AR48" i="6"/>
  <c r="AC43" i="6"/>
  <c r="AR43" i="6"/>
  <c r="AM43" i="6"/>
  <c r="AC41" i="6"/>
  <c r="AR41" i="6"/>
  <c r="AM41" i="6"/>
  <c r="E30" i="6"/>
  <c r="W30" i="6"/>
  <c r="AH30" i="6"/>
  <c r="AM30" i="6"/>
  <c r="E27" i="6"/>
  <c r="W27" i="6"/>
  <c r="AH27" i="6"/>
  <c r="AM27" i="6"/>
  <c r="Z64" i="6"/>
  <c r="V64" i="6"/>
  <c r="R64" i="6"/>
  <c r="F63" i="6"/>
  <c r="R63" i="6"/>
  <c r="F62" i="6"/>
  <c r="R62" i="6"/>
  <c r="F61" i="6"/>
  <c r="R61" i="6"/>
  <c r="F60" i="6"/>
  <c r="R60" i="6"/>
  <c r="D59" i="6"/>
  <c r="V59" i="6"/>
  <c r="AG59" i="6"/>
  <c r="AI58" i="6"/>
  <c r="D58" i="6"/>
  <c r="V58" i="6"/>
  <c r="AG58" i="6"/>
  <c r="W57" i="6"/>
  <c r="H57" i="6"/>
  <c r="Z57" i="6"/>
  <c r="T57" i="6"/>
  <c r="E57" i="6"/>
  <c r="X56" i="6"/>
  <c r="G55" i="6"/>
  <c r="S55" i="6"/>
  <c r="W54" i="6"/>
  <c r="S54" i="6"/>
  <c r="Y54" i="6"/>
  <c r="P51" i="6"/>
  <c r="F51" i="6"/>
  <c r="R51" i="6"/>
  <c r="AI51" i="6"/>
  <c r="X51" i="6"/>
  <c r="E50" i="6"/>
  <c r="AH50" i="6"/>
  <c r="C49" i="6"/>
  <c r="O49" i="6"/>
  <c r="U49" i="6"/>
  <c r="AF49" i="6"/>
  <c r="AE48" i="6"/>
  <c r="H48" i="6"/>
  <c r="Z48" i="6"/>
  <c r="H46" i="6"/>
  <c r="Z46" i="6"/>
  <c r="T46" i="6"/>
  <c r="AJ46" i="6"/>
  <c r="U37" i="6"/>
  <c r="AG37" i="6"/>
  <c r="C37" i="6"/>
  <c r="O37" i="6"/>
  <c r="AF37" i="6"/>
  <c r="H63" i="6"/>
  <c r="Z63" i="6"/>
  <c r="AJ63" i="6"/>
  <c r="H62" i="6"/>
  <c r="Z62" i="6"/>
  <c r="AJ62" i="6"/>
  <c r="H61" i="6"/>
  <c r="Z61" i="6"/>
  <c r="AJ61" i="6"/>
  <c r="H60" i="6"/>
  <c r="Z60" i="6"/>
  <c r="AJ60" i="6"/>
  <c r="G59" i="6"/>
  <c r="S59" i="6"/>
  <c r="S58" i="6"/>
  <c r="Y58" i="6"/>
  <c r="F55" i="6"/>
  <c r="R55" i="6"/>
  <c r="AI55" i="6"/>
  <c r="X55" i="6"/>
  <c r="AS53" i="6"/>
  <c r="AG52" i="6"/>
  <c r="T52" i="6"/>
  <c r="O52" i="6"/>
  <c r="F52" i="6"/>
  <c r="R52" i="6"/>
  <c r="AI52" i="6"/>
  <c r="C52" i="6"/>
  <c r="AK51" i="6"/>
  <c r="G50" i="6"/>
  <c r="D50" i="6"/>
  <c r="V50" i="6"/>
  <c r="AG50" i="6"/>
  <c r="W49" i="6"/>
  <c r="H49" i="6"/>
  <c r="Z49" i="6"/>
  <c r="T49" i="6"/>
  <c r="E49" i="6"/>
  <c r="Y40" i="6"/>
  <c r="AI40" i="6"/>
  <c r="G40" i="6"/>
  <c r="S40" i="6"/>
  <c r="H59" i="6"/>
  <c r="Z59" i="6"/>
  <c r="F58" i="6"/>
  <c r="R58" i="6"/>
  <c r="D57" i="6"/>
  <c r="V57" i="6"/>
  <c r="H55" i="6"/>
  <c r="Z55" i="6"/>
  <c r="AO54" i="6"/>
  <c r="AE54" i="6"/>
  <c r="F54" i="6"/>
  <c r="R54" i="6"/>
  <c r="D53" i="6"/>
  <c r="V53" i="6"/>
  <c r="H51" i="6"/>
  <c r="Z51" i="6"/>
  <c r="F50" i="6"/>
  <c r="R50" i="6"/>
  <c r="D49" i="6"/>
  <c r="V49" i="6"/>
  <c r="S47" i="6"/>
  <c r="H47" i="6"/>
  <c r="Z47" i="6"/>
  <c r="Q45" i="6"/>
  <c r="E45" i="6"/>
  <c r="AH45" i="6"/>
  <c r="U41" i="6"/>
  <c r="AG41" i="6"/>
  <c r="C41" i="6"/>
  <c r="O41" i="6"/>
  <c r="AF41" i="6"/>
  <c r="U38" i="6"/>
  <c r="AG38" i="6"/>
  <c r="C38" i="6"/>
  <c r="AF38" i="6"/>
  <c r="Q37" i="6"/>
  <c r="E37" i="6"/>
  <c r="C35" i="6"/>
  <c r="AF35" i="6"/>
  <c r="AG35" i="6"/>
  <c r="O35" i="6"/>
  <c r="U35" i="6"/>
  <c r="P34" i="6"/>
  <c r="D34" i="6"/>
  <c r="V34" i="6"/>
  <c r="D31" i="6"/>
  <c r="P31" i="6"/>
  <c r="V31" i="6"/>
  <c r="H58" i="6"/>
  <c r="Z58" i="6"/>
  <c r="F57" i="6"/>
  <c r="R57" i="6"/>
  <c r="D56" i="6"/>
  <c r="V56" i="6"/>
  <c r="H54" i="6"/>
  <c r="Z54" i="6"/>
  <c r="F53" i="6"/>
  <c r="R53" i="6"/>
  <c r="D52" i="6"/>
  <c r="V52" i="6"/>
  <c r="H50" i="6"/>
  <c r="Z50" i="6"/>
  <c r="F49" i="6"/>
  <c r="R49" i="6"/>
  <c r="D48" i="6"/>
  <c r="V48" i="6"/>
  <c r="Y44" i="6"/>
  <c r="AI44" i="6"/>
  <c r="G44" i="6"/>
  <c r="U44" i="6"/>
  <c r="AG44" i="6"/>
  <c r="C44" i="6"/>
  <c r="O44" i="6"/>
  <c r="AF44" i="6"/>
  <c r="Y43" i="6"/>
  <c r="AI43" i="6"/>
  <c r="G43" i="6"/>
  <c r="U43" i="6"/>
  <c r="AG43" i="6"/>
  <c r="C43" i="6"/>
  <c r="O43" i="6"/>
  <c r="AF43" i="6"/>
  <c r="Y42" i="6"/>
  <c r="AI42" i="6"/>
  <c r="G42" i="6"/>
  <c r="U42" i="6"/>
  <c r="AG42" i="6"/>
  <c r="C42" i="6"/>
  <c r="O42" i="6"/>
  <c r="AF42" i="6"/>
  <c r="Q41" i="6"/>
  <c r="E41" i="6"/>
  <c r="Y39" i="6"/>
  <c r="AI39" i="6"/>
  <c r="G39" i="6"/>
  <c r="S39" i="6"/>
  <c r="AO38" i="6"/>
  <c r="AT38" i="6"/>
  <c r="AE38" i="6"/>
  <c r="AO37" i="6"/>
  <c r="AT37" i="6"/>
  <c r="AE37" i="6"/>
  <c r="E36" i="6"/>
  <c r="AH36" i="6"/>
  <c r="Q36" i="6"/>
  <c r="W36" i="6"/>
  <c r="X35" i="6"/>
  <c r="AI35" i="6"/>
  <c r="R35" i="6"/>
  <c r="F35" i="6"/>
  <c r="D47" i="6"/>
  <c r="V47" i="6"/>
  <c r="Y45" i="6"/>
  <c r="AI45" i="6"/>
  <c r="S45" i="6"/>
  <c r="AO44" i="6"/>
  <c r="AT44" i="6"/>
  <c r="AE44" i="6"/>
  <c r="Q40" i="6"/>
  <c r="E40" i="6"/>
  <c r="AA7" i="6"/>
  <c r="AK8" i="6"/>
  <c r="Y41" i="6"/>
  <c r="AI41" i="6"/>
  <c r="G41" i="6"/>
  <c r="AO39" i="6"/>
  <c r="AT39" i="6"/>
  <c r="AE39" i="6"/>
  <c r="U39" i="6"/>
  <c r="AG39" i="6"/>
  <c r="C39" i="6"/>
  <c r="Q38" i="6"/>
  <c r="E38" i="6"/>
  <c r="Y37" i="6"/>
  <c r="AI37" i="6"/>
  <c r="G37" i="6"/>
  <c r="T36" i="6"/>
  <c r="Z36" i="6"/>
  <c r="H36" i="6"/>
  <c r="AJ36" i="6"/>
  <c r="G33" i="6"/>
  <c r="S33" i="6"/>
  <c r="Y33" i="6"/>
  <c r="U45" i="6"/>
  <c r="AG45" i="6"/>
  <c r="Q44" i="6"/>
  <c r="E44" i="6"/>
  <c r="Q43" i="6"/>
  <c r="E43" i="6"/>
  <c r="Q42" i="6"/>
  <c r="E42" i="6"/>
  <c r="AO40" i="6"/>
  <c r="AT40" i="6"/>
  <c r="AE40" i="6"/>
  <c r="U40" i="6"/>
  <c r="AG40" i="6"/>
  <c r="C40" i="6"/>
  <c r="AC39" i="6"/>
  <c r="AR39" i="6"/>
  <c r="Q39" i="6"/>
  <c r="E39" i="6"/>
  <c r="Y38" i="6"/>
  <c r="AI38" i="6"/>
  <c r="G38" i="6"/>
  <c r="AC34" i="6"/>
  <c r="AR34" i="6"/>
  <c r="AM34" i="6"/>
  <c r="AC35" i="6"/>
  <c r="AR35" i="6"/>
  <c r="E29" i="6"/>
  <c r="W29" i="6"/>
  <c r="G17" i="6"/>
  <c r="Y17" i="6"/>
  <c r="AI17" i="6"/>
  <c r="S17" i="6"/>
  <c r="C17" i="6"/>
  <c r="O17" i="6"/>
  <c r="U17" i="6"/>
  <c r="AG17" i="6"/>
  <c r="AL17" i="6"/>
  <c r="AF17" i="6"/>
  <c r="AI36" i="6"/>
  <c r="AF36" i="6"/>
  <c r="AM35" i="6"/>
  <c r="Y34" i="6"/>
  <c r="S34" i="6"/>
  <c r="AH33" i="6"/>
  <c r="Z33" i="6"/>
  <c r="C32" i="6"/>
  <c r="U32" i="6"/>
  <c r="F31" i="6"/>
  <c r="X31" i="6"/>
  <c r="AI31" i="6"/>
  <c r="E26" i="6"/>
  <c r="W26" i="6"/>
  <c r="AH26" i="6"/>
  <c r="AM26" i="6"/>
  <c r="U36" i="6"/>
  <c r="O36" i="6"/>
  <c r="F36" i="6"/>
  <c r="V35" i="6"/>
  <c r="Q35" i="6"/>
  <c r="D35" i="6"/>
  <c r="AG34" i="6"/>
  <c r="R34" i="6"/>
  <c r="AJ33" i="6"/>
  <c r="H33" i="6"/>
  <c r="AP32" i="6"/>
  <c r="AK32" i="6"/>
  <c r="S32" i="6"/>
  <c r="E32" i="6"/>
  <c r="Q32" i="6"/>
  <c r="AT31" i="6"/>
  <c r="H31" i="6"/>
  <c r="T31" i="6"/>
  <c r="G21" i="6"/>
  <c r="Y21" i="6"/>
  <c r="AI21" i="6"/>
  <c r="AS21" i="6"/>
  <c r="S21" i="6"/>
  <c r="C21" i="6"/>
  <c r="O21" i="6"/>
  <c r="AG21" i="6"/>
  <c r="AL21" i="6"/>
  <c r="U21" i="6"/>
  <c r="AF21" i="6"/>
  <c r="AP21" i="6"/>
  <c r="E18" i="6"/>
  <c r="Q18" i="6"/>
  <c r="W18" i="6"/>
  <c r="AH18" i="6"/>
  <c r="AR18" i="6"/>
  <c r="AA10" i="6"/>
  <c r="AK10" i="6"/>
  <c r="G10" i="6"/>
  <c r="Y10" i="6"/>
  <c r="AI10" i="6"/>
  <c r="AS10" i="6"/>
  <c r="C10" i="6"/>
  <c r="O10" i="6"/>
  <c r="U10" i="6"/>
  <c r="AG10" i="6"/>
  <c r="AQ10" i="6"/>
  <c r="E9" i="6"/>
  <c r="Q9" i="6"/>
  <c r="O28" i="6"/>
  <c r="G24" i="6"/>
  <c r="S24" i="6"/>
  <c r="E22" i="6"/>
  <c r="AH22" i="6"/>
  <c r="AM22" i="6"/>
  <c r="AH20" i="6"/>
  <c r="AM20" i="6"/>
  <c r="AE10" i="6"/>
  <c r="AO10" i="6"/>
  <c r="S10" i="6"/>
  <c r="AH9" i="6"/>
  <c r="AM9" i="6"/>
  <c r="W9" i="6"/>
  <c r="AM7" i="6"/>
  <c r="Q8" i="6"/>
  <c r="E7" i="6"/>
  <c r="AD7" i="6"/>
  <c r="AN8" i="6"/>
  <c r="S30" i="6"/>
  <c r="AF28" i="6"/>
  <c r="AK28" i="6"/>
  <c r="C26" i="6"/>
  <c r="AF26" i="6"/>
  <c r="AK26" i="6"/>
  <c r="C25" i="6"/>
  <c r="O25" i="6"/>
  <c r="W24" i="6"/>
  <c r="E23" i="6"/>
  <c r="W23" i="6"/>
  <c r="W22" i="6"/>
  <c r="Q20" i="6"/>
  <c r="AJ19" i="6"/>
  <c r="G19" i="6"/>
  <c r="Y19" i="6"/>
  <c r="AI19" i="6"/>
  <c r="C19" i="6"/>
  <c r="O19" i="6"/>
  <c r="H16" i="6"/>
  <c r="T16" i="6"/>
  <c r="AJ16" i="6"/>
  <c r="AO16" i="6"/>
  <c r="D16" i="6"/>
  <c r="P16" i="6"/>
  <c r="AG16" i="6"/>
  <c r="U22" i="6"/>
  <c r="Q21" i="6"/>
  <c r="AK20" i="6"/>
  <c r="AG20" i="6"/>
  <c r="U20" i="6"/>
  <c r="Q19" i="6"/>
  <c r="AK18" i="6"/>
  <c r="AG18" i="6"/>
  <c r="U18" i="6"/>
  <c r="AH16" i="6"/>
  <c r="Q16" i="6"/>
  <c r="AI15" i="6"/>
  <c r="AD15" i="6"/>
  <c r="AG15" i="6"/>
  <c r="Y15" i="6"/>
  <c r="U15" i="6"/>
  <c r="Q15" i="6"/>
  <c r="AI14" i="6"/>
  <c r="AG14" i="6"/>
  <c r="AB14" i="6"/>
  <c r="Y14" i="6"/>
  <c r="U14" i="6"/>
  <c r="Q14" i="6"/>
  <c r="AI13" i="6"/>
  <c r="AN13" i="6"/>
  <c r="AG13" i="6"/>
  <c r="Y13" i="6"/>
  <c r="U13" i="6"/>
  <c r="Q13" i="6"/>
  <c r="AI12" i="6"/>
  <c r="AG12" i="6"/>
  <c r="AB12" i="6"/>
  <c r="Y12" i="6"/>
  <c r="U12" i="6"/>
  <c r="Q12" i="6"/>
  <c r="AI11" i="6"/>
  <c r="AN11" i="6"/>
  <c r="AG11" i="6"/>
  <c r="Y11" i="6"/>
  <c r="U11" i="6"/>
  <c r="Q11" i="6"/>
  <c r="Q10" i="6"/>
  <c r="U9" i="6"/>
  <c r="AK16" i="6"/>
  <c r="AR14" i="6"/>
  <c r="AR12" i="6"/>
  <c r="AE98" i="6"/>
  <c r="AT98" i="6"/>
  <c r="AO98" i="6"/>
  <c r="AC98" i="6"/>
  <c r="AR98" i="6"/>
  <c r="H99" i="6"/>
  <c r="T99" i="6"/>
  <c r="Z99" i="6"/>
  <c r="F99" i="6"/>
  <c r="R99" i="6"/>
  <c r="X99" i="6"/>
  <c r="D99" i="6"/>
  <c r="P99" i="6"/>
  <c r="V99" i="6"/>
  <c r="AD98" i="6"/>
  <c r="AN98" i="6"/>
  <c r="AB98" i="6"/>
  <c r="AL98" i="6"/>
  <c r="H98" i="6"/>
  <c r="T98" i="6"/>
  <c r="Z98" i="6"/>
  <c r="F98" i="6"/>
  <c r="R98" i="6"/>
  <c r="X98" i="6"/>
  <c r="D98" i="6"/>
  <c r="P98" i="6"/>
  <c r="V98" i="6"/>
  <c r="AG31" i="6"/>
  <c r="AF31" i="6"/>
  <c r="U31" i="6"/>
  <c r="O31" i="6"/>
  <c r="AI30" i="6"/>
  <c r="AG30" i="6"/>
  <c r="Y30" i="6"/>
  <c r="U30" i="6"/>
  <c r="Q30" i="6"/>
  <c r="H30" i="6"/>
  <c r="T30" i="6"/>
  <c r="Z30" i="6"/>
  <c r="F30" i="6"/>
  <c r="R30" i="6"/>
  <c r="X30" i="6"/>
  <c r="D30" i="6"/>
  <c r="P30" i="6"/>
  <c r="V30" i="6"/>
  <c r="AI29" i="6"/>
  <c r="AG29" i="6"/>
  <c r="Y29" i="6"/>
  <c r="U29" i="6"/>
  <c r="Q29" i="6"/>
  <c r="H29" i="6"/>
  <c r="T29" i="6"/>
  <c r="Z29" i="6"/>
  <c r="F29" i="6"/>
  <c r="R29" i="6"/>
  <c r="X29" i="6"/>
  <c r="D29" i="6"/>
  <c r="P29" i="6"/>
  <c r="V29" i="6"/>
  <c r="AI28" i="6"/>
  <c r="AG28" i="6"/>
  <c r="Y28" i="6"/>
  <c r="U28" i="6"/>
  <c r="Q28" i="6"/>
  <c r="H28" i="6"/>
  <c r="T28" i="6"/>
  <c r="Z28" i="6"/>
  <c r="F28" i="6"/>
  <c r="R28" i="6"/>
  <c r="X28" i="6"/>
  <c r="D28" i="6"/>
  <c r="P28" i="6"/>
  <c r="V28" i="6"/>
  <c r="AI27" i="6"/>
  <c r="AG27" i="6"/>
  <c r="Y27" i="6"/>
  <c r="U27" i="6"/>
  <c r="Q27" i="6"/>
  <c r="H27" i="6"/>
  <c r="T27" i="6"/>
  <c r="Z27" i="6"/>
  <c r="F27" i="6"/>
  <c r="R27" i="6"/>
  <c r="X27" i="6"/>
  <c r="D27" i="6"/>
  <c r="P27" i="6"/>
  <c r="V27" i="6"/>
  <c r="AI26" i="6"/>
  <c r="AG26" i="6"/>
  <c r="Y26" i="6"/>
  <c r="U26" i="6"/>
  <c r="Q26" i="6"/>
  <c r="H26" i="6"/>
  <c r="T26" i="6"/>
  <c r="Z26" i="6"/>
  <c r="F26" i="6"/>
  <c r="R26" i="6"/>
  <c r="X26" i="6"/>
  <c r="D26" i="6"/>
  <c r="P26" i="6"/>
  <c r="V26" i="6"/>
  <c r="AI25" i="6"/>
  <c r="AG25" i="6"/>
  <c r="Y25" i="6"/>
  <c r="U25" i="6"/>
  <c r="Q25" i="6"/>
  <c r="H25" i="6"/>
  <c r="T25" i="6"/>
  <c r="Z25" i="6"/>
  <c r="F25" i="6"/>
  <c r="R25" i="6"/>
  <c r="X25" i="6"/>
  <c r="D25" i="6"/>
  <c r="P25" i="6"/>
  <c r="V25" i="6"/>
  <c r="AI24" i="6"/>
  <c r="AG24" i="6"/>
  <c r="Y24" i="6"/>
  <c r="U24" i="6"/>
  <c r="Q24" i="6"/>
  <c r="H24" i="6"/>
  <c r="T24" i="6"/>
  <c r="Z24" i="6"/>
  <c r="F24" i="6"/>
  <c r="R24" i="6"/>
  <c r="X24" i="6"/>
  <c r="D24" i="6"/>
  <c r="P24" i="6"/>
  <c r="V24" i="6"/>
  <c r="AI23" i="6"/>
  <c r="AG23" i="6"/>
  <c r="Y23" i="6"/>
  <c r="U23" i="6"/>
  <c r="Q23" i="6"/>
  <c r="H23" i="6"/>
  <c r="T23" i="6"/>
  <c r="Z23" i="6"/>
  <c r="F23" i="6"/>
  <c r="R23" i="6"/>
  <c r="X23" i="6"/>
  <c r="D23" i="6"/>
  <c r="P23" i="6"/>
  <c r="V23" i="6"/>
  <c r="AI22" i="6"/>
  <c r="AB22" i="6"/>
  <c r="AL22" i="6"/>
  <c r="Y22" i="6"/>
  <c r="H22" i="6"/>
  <c r="T22" i="6"/>
  <c r="Z22" i="6"/>
  <c r="AP97" i="6"/>
  <c r="AN97" i="6"/>
  <c r="Z97" i="6"/>
  <c r="X97" i="6"/>
  <c r="V97" i="6"/>
  <c r="T97" i="6"/>
  <c r="R97" i="6"/>
  <c r="P97" i="6"/>
  <c r="AN96" i="6"/>
  <c r="AE30" i="6"/>
  <c r="AT30" i="6"/>
  <c r="AC30" i="6"/>
  <c r="AA30" i="6"/>
  <c r="AP30" i="6"/>
  <c r="AE29" i="6"/>
  <c r="AT29" i="6"/>
  <c r="AC29" i="6"/>
  <c r="AR29" i="6"/>
  <c r="AA29" i="6"/>
  <c r="AP29" i="6"/>
  <c r="AE28" i="6"/>
  <c r="AT28" i="6"/>
  <c r="AC28" i="6"/>
  <c r="AR28" i="6"/>
  <c r="AP28" i="6"/>
  <c r="AE27" i="6"/>
  <c r="AT27" i="6"/>
  <c r="AC27" i="6"/>
  <c r="AR27" i="6"/>
  <c r="AA27" i="6"/>
  <c r="AP27" i="6"/>
  <c r="AE26" i="6"/>
  <c r="AT26" i="6"/>
  <c r="AR26" i="6"/>
  <c r="AE25" i="6"/>
  <c r="AT25" i="6"/>
  <c r="AC25" i="6"/>
  <c r="AR25" i="6"/>
  <c r="AA25" i="6"/>
  <c r="AP25" i="6"/>
  <c r="AE24" i="6"/>
  <c r="AT24" i="6"/>
  <c r="AC24" i="6"/>
  <c r="AR24" i="6"/>
  <c r="AE23" i="6"/>
  <c r="AT23" i="6"/>
  <c r="AC23" i="6"/>
  <c r="AR23" i="6"/>
  <c r="AA23" i="6"/>
  <c r="AP23" i="6"/>
  <c r="AE22" i="6"/>
  <c r="AT22" i="6"/>
  <c r="AC22" i="6"/>
  <c r="AR22" i="6"/>
  <c r="AA22" i="6"/>
  <c r="AP22" i="6"/>
  <c r="X22" i="6"/>
  <c r="V22" i="6"/>
  <c r="R22" i="6"/>
  <c r="P22" i="6"/>
  <c r="AN21" i="6"/>
  <c r="Z21" i="6"/>
  <c r="X21" i="6"/>
  <c r="V21" i="6"/>
  <c r="T21" i="6"/>
  <c r="R21" i="6"/>
  <c r="P21" i="6"/>
  <c r="AR20" i="6"/>
  <c r="AP20" i="6"/>
  <c r="AL20" i="6"/>
  <c r="Z20" i="6"/>
  <c r="X20" i="6"/>
  <c r="V20" i="6"/>
  <c r="T20" i="6"/>
  <c r="R20" i="6"/>
  <c r="P20" i="6"/>
  <c r="AR19" i="6"/>
  <c r="AN19" i="6"/>
  <c r="Z19" i="6"/>
  <c r="X19" i="6"/>
  <c r="V19" i="6"/>
  <c r="T19" i="6"/>
  <c r="R19" i="6"/>
  <c r="P19" i="6"/>
  <c r="AP18" i="6"/>
  <c r="AL18" i="6"/>
  <c r="Z18" i="6"/>
  <c r="X18" i="6"/>
  <c r="V18" i="6"/>
  <c r="T18" i="6"/>
  <c r="R18" i="6"/>
  <c r="P18" i="6"/>
  <c r="AN17" i="6"/>
  <c r="Z17" i="6"/>
  <c r="X17" i="6"/>
  <c r="V17" i="6"/>
  <c r="T17" i="6"/>
  <c r="R17" i="6"/>
  <c r="P17" i="6"/>
  <c r="AT16" i="6"/>
  <c r="AR16" i="6"/>
  <c r="AL16" i="6"/>
  <c r="AE9" i="6"/>
  <c r="AT9" i="6"/>
  <c r="AR9" i="6"/>
  <c r="AB7" i="6"/>
  <c r="AL8" i="6"/>
  <c r="C7" i="6"/>
  <c r="O8" i="6"/>
  <c r="P8" i="6"/>
  <c r="D7" i="6"/>
  <c r="T8" i="6"/>
  <c r="H7" i="6"/>
  <c r="AL10" i="6"/>
  <c r="H10" i="6"/>
  <c r="T10" i="6"/>
  <c r="Z10" i="6"/>
  <c r="F10" i="6"/>
  <c r="R10" i="6"/>
  <c r="X10" i="6"/>
  <c r="D10" i="6"/>
  <c r="P10" i="6"/>
  <c r="V10" i="6"/>
  <c r="H9" i="6"/>
  <c r="T9" i="6"/>
  <c r="Z9" i="6"/>
  <c r="F9" i="6"/>
  <c r="R9" i="6"/>
  <c r="X9" i="6"/>
  <c r="D9" i="6"/>
  <c r="P9" i="6"/>
  <c r="V9" i="6"/>
  <c r="R8" i="6"/>
  <c r="F7" i="6"/>
  <c r="AS11" i="6"/>
  <c r="AQ14" i="6"/>
  <c r="AL14" i="6"/>
  <c r="AS15" i="6"/>
  <c r="AE16" i="6"/>
  <c r="AC20" i="6"/>
  <c r="AD21" i="6"/>
  <c r="AA35" i="6"/>
  <c r="AK35" i="6"/>
  <c r="AP35" i="6"/>
  <c r="AS40" i="6"/>
  <c r="AD40" i="6"/>
  <c r="AN40" i="6"/>
  <c r="AB52" i="6"/>
  <c r="AL52" i="6"/>
  <c r="AQ52" i="6"/>
  <c r="AP52" i="6"/>
  <c r="AK52" i="6"/>
  <c r="AA52" i="6"/>
  <c r="AD56" i="6"/>
  <c r="AS56" i="6"/>
  <c r="AN56" i="6"/>
  <c r="AD48" i="6"/>
  <c r="AS48" i="6"/>
  <c r="AN48" i="6"/>
  <c r="AB54" i="6"/>
  <c r="AL54" i="6"/>
  <c r="AQ54" i="6"/>
  <c r="AP71" i="6"/>
  <c r="AK71" i="6"/>
  <c r="AA71" i="6"/>
  <c r="AP90" i="6"/>
  <c r="AK90" i="6"/>
  <c r="AA90" i="6"/>
  <c r="AS94" i="6"/>
  <c r="AD94" i="6"/>
  <c r="AN94" i="6"/>
  <c r="AB63" i="6"/>
  <c r="AL63" i="6"/>
  <c r="AQ63" i="6"/>
  <c r="AP74" i="6"/>
  <c r="AA74" i="6"/>
  <c r="AK74" i="6"/>
  <c r="AT53" i="6"/>
  <c r="AE53" i="6"/>
  <c r="AO53" i="6"/>
  <c r="AB76" i="6"/>
  <c r="AL76" i="6"/>
  <c r="AQ76" i="6"/>
  <c r="AP79" i="6"/>
  <c r="AK79" i="6"/>
  <c r="AA79" i="6"/>
  <c r="AM92" i="6"/>
  <c r="AR92" i="6"/>
  <c r="AC92" i="6"/>
  <c r="AD83" i="6"/>
  <c r="AS83" i="6"/>
  <c r="AN83" i="6"/>
  <c r="AB73" i="6"/>
  <c r="AL73" i="6"/>
  <c r="AQ73" i="6"/>
  <c r="AD10" i="6"/>
  <c r="AR30" i="6"/>
  <c r="AQ12" i="6"/>
  <c r="AL12" i="6"/>
  <c r="AS13" i="6"/>
  <c r="AB20" i="6"/>
  <c r="AQ20" i="6"/>
  <c r="AC18" i="6"/>
  <c r="AA21" i="6"/>
  <c r="AB34" i="6"/>
  <c r="AL34" i="6"/>
  <c r="AQ34" i="6"/>
  <c r="AC33" i="6"/>
  <c r="AR33" i="6"/>
  <c r="AM33" i="6"/>
  <c r="AA36" i="6"/>
  <c r="AK36" i="6"/>
  <c r="AP36" i="6"/>
  <c r="AD17" i="6"/>
  <c r="AS17" i="6"/>
  <c r="AB45" i="6"/>
  <c r="AL45" i="6"/>
  <c r="AQ45" i="6"/>
  <c r="AE36" i="6"/>
  <c r="AO36" i="6"/>
  <c r="AT36" i="6"/>
  <c r="AB39" i="6"/>
  <c r="AL39" i="6"/>
  <c r="AQ39" i="6"/>
  <c r="AS45" i="6"/>
  <c r="AD45" i="6"/>
  <c r="AN45" i="6"/>
  <c r="AB42" i="6"/>
  <c r="AL42" i="6"/>
  <c r="AQ42" i="6"/>
  <c r="AB43" i="6"/>
  <c r="AL43" i="6"/>
  <c r="AQ43" i="6"/>
  <c r="AB44" i="6"/>
  <c r="AL44" i="6"/>
  <c r="AQ44" i="6"/>
  <c r="AB38" i="6"/>
  <c r="AL38" i="6"/>
  <c r="AQ38" i="6"/>
  <c r="AB41" i="6"/>
  <c r="AL41" i="6"/>
  <c r="AQ41" i="6"/>
  <c r="AT62" i="6"/>
  <c r="AE62" i="6"/>
  <c r="AO62" i="6"/>
  <c r="AD58" i="6"/>
  <c r="AN58" i="6"/>
  <c r="AS58" i="6"/>
  <c r="AC58" i="6"/>
  <c r="AM58" i="6"/>
  <c r="AR58" i="6"/>
  <c r="AB55" i="6"/>
  <c r="AL55" i="6"/>
  <c r="AQ55" i="6"/>
  <c r="AB60" i="6"/>
  <c r="AL60" i="6"/>
  <c r="AQ60" i="6"/>
  <c r="AD64" i="6"/>
  <c r="AN64" i="6"/>
  <c r="AS64" i="6"/>
  <c r="AP67" i="6"/>
  <c r="AK67" i="6"/>
  <c r="AA67" i="6"/>
  <c r="AM77" i="6"/>
  <c r="AC77" i="6"/>
  <c r="AR77" i="6"/>
  <c r="AM81" i="6"/>
  <c r="AC81" i="6"/>
  <c r="AR81" i="6"/>
  <c r="AM85" i="6"/>
  <c r="AR85" i="6"/>
  <c r="AC85" i="6"/>
  <c r="AS93" i="6"/>
  <c r="AD93" i="6"/>
  <c r="AN93" i="6"/>
  <c r="AS95" i="6"/>
  <c r="AD95" i="6"/>
  <c r="AN95" i="6"/>
  <c r="AB69" i="6"/>
  <c r="AL69" i="6"/>
  <c r="AQ69" i="6"/>
  <c r="AD73" i="6"/>
  <c r="AN73" i="6"/>
  <c r="AS73" i="6"/>
  <c r="AT75" i="6"/>
  <c r="AE75" i="6"/>
  <c r="AO75" i="6"/>
  <c r="AT89" i="6"/>
  <c r="AE89" i="6"/>
  <c r="AO89" i="6"/>
  <c r="AB102" i="6"/>
  <c r="AL102" i="6"/>
  <c r="AQ102" i="6"/>
  <c r="AB104" i="6"/>
  <c r="AL104" i="6"/>
  <c r="AQ104" i="6"/>
  <c r="AB106" i="6"/>
  <c r="AL106" i="6"/>
  <c r="AQ106" i="6"/>
  <c r="AB68" i="6"/>
  <c r="AL68" i="6"/>
  <c r="AQ68" i="6"/>
  <c r="AB66" i="6"/>
  <c r="AL66" i="6"/>
  <c r="AQ66" i="6"/>
  <c r="AP70" i="6"/>
  <c r="AA70" i="6"/>
  <c r="AK70" i="6"/>
  <c r="AB77" i="6"/>
  <c r="AL77" i="6"/>
  <c r="AQ77" i="6"/>
  <c r="AP81" i="6"/>
  <c r="AK81" i="6"/>
  <c r="AA81" i="6"/>
  <c r="AD97" i="6"/>
  <c r="AS97" i="6"/>
  <c r="AN12" i="6"/>
  <c r="AS12" i="6"/>
  <c r="AD12" i="6"/>
  <c r="AC16" i="6"/>
  <c r="AM16" i="6"/>
  <c r="W8" i="6"/>
  <c r="W7" i="6"/>
  <c r="Q7" i="6"/>
  <c r="AS36" i="6"/>
  <c r="AN36" i="6"/>
  <c r="AD36" i="6"/>
  <c r="AB40" i="6"/>
  <c r="AL40" i="6"/>
  <c r="AQ40" i="6"/>
  <c r="AS37" i="6"/>
  <c r="AD37" i="6"/>
  <c r="AN37" i="6"/>
  <c r="AK7" i="6"/>
  <c r="AP8" i="6"/>
  <c r="AP7" i="6"/>
  <c r="AN35" i="6"/>
  <c r="AD35" i="6"/>
  <c r="AS35" i="6"/>
  <c r="AC36" i="6"/>
  <c r="AR36" i="6"/>
  <c r="AM36" i="6"/>
  <c r="AS39" i="6"/>
  <c r="AD39" i="6"/>
  <c r="AN39" i="6"/>
  <c r="AK42" i="6"/>
  <c r="AP42" i="6"/>
  <c r="AA42" i="6"/>
  <c r="AK43" i="6"/>
  <c r="AP43" i="6"/>
  <c r="AA43" i="6"/>
  <c r="AK44" i="6"/>
  <c r="AP44" i="6"/>
  <c r="AA44" i="6"/>
  <c r="AL35" i="6"/>
  <c r="AQ35" i="6"/>
  <c r="AB35" i="6"/>
  <c r="AK41" i="6"/>
  <c r="AP41" i="6"/>
  <c r="AA41" i="6"/>
  <c r="AB50" i="6"/>
  <c r="AL50" i="6"/>
  <c r="AQ50" i="6"/>
  <c r="AD52" i="6"/>
  <c r="AN52" i="6"/>
  <c r="AS52" i="6"/>
  <c r="AT61" i="6"/>
  <c r="AE61" i="6"/>
  <c r="AO61" i="6"/>
  <c r="AB37" i="6"/>
  <c r="AL37" i="6"/>
  <c r="AQ37" i="6"/>
  <c r="AP49" i="6"/>
  <c r="AK49" i="6"/>
  <c r="AA49" i="6"/>
  <c r="AB58" i="6"/>
  <c r="AL58" i="6"/>
  <c r="AQ58" i="6"/>
  <c r="AB59" i="6"/>
  <c r="AL59" i="6"/>
  <c r="AQ59" i="6"/>
  <c r="AB51" i="6"/>
  <c r="AL51" i="6"/>
  <c r="AQ51" i="6"/>
  <c r="AD59" i="6"/>
  <c r="AN59" i="6"/>
  <c r="AS59" i="6"/>
  <c r="AP75" i="6"/>
  <c r="AK75" i="6"/>
  <c r="AA75" i="6"/>
  <c r="AB78" i="6"/>
  <c r="AL78" i="6"/>
  <c r="AQ78" i="6"/>
  <c r="AD80" i="6"/>
  <c r="AS80" i="6"/>
  <c r="AN80" i="6"/>
  <c r="AB82" i="6"/>
  <c r="AL82" i="6"/>
  <c r="AQ82" i="6"/>
  <c r="AD84" i="6"/>
  <c r="AS84" i="6"/>
  <c r="AN84" i="6"/>
  <c r="AB86" i="6"/>
  <c r="AL86" i="6"/>
  <c r="AQ86" i="6"/>
  <c r="AB88" i="6"/>
  <c r="AL88" i="6"/>
  <c r="AQ88" i="6"/>
  <c r="AQ94" i="6"/>
  <c r="AL94" i="6"/>
  <c r="AB94" i="6"/>
  <c r="AB96" i="6"/>
  <c r="AQ96" i="6"/>
  <c r="AL96" i="6"/>
  <c r="AD70" i="6"/>
  <c r="AN70" i="6"/>
  <c r="AS70" i="6"/>
  <c r="AD76" i="6"/>
  <c r="AS76" i="6"/>
  <c r="AN76" i="6"/>
  <c r="AD78" i="6"/>
  <c r="AS78" i="6"/>
  <c r="AN78" i="6"/>
  <c r="AB84" i="6"/>
  <c r="AL84" i="6"/>
  <c r="AQ84" i="6"/>
  <c r="AD86" i="6"/>
  <c r="AS86" i="6"/>
  <c r="AN86" i="6"/>
  <c r="AB57" i="6"/>
  <c r="AL57" i="6"/>
  <c r="AQ57" i="6"/>
  <c r="AB85" i="6"/>
  <c r="AL85" i="6"/>
  <c r="AQ85" i="6"/>
  <c r="AD87" i="6"/>
  <c r="AS87" i="6"/>
  <c r="AN87" i="6"/>
  <c r="AA97" i="6"/>
  <c r="AK97" i="6"/>
  <c r="AE108" i="6"/>
  <c r="AO108" i="6"/>
  <c r="AT108" i="6"/>
  <c r="AB108" i="6"/>
  <c r="AL108" i="6"/>
  <c r="AQ108" i="6"/>
  <c r="AT91" i="6"/>
  <c r="AE91" i="6"/>
  <c r="AO91" i="6"/>
  <c r="AD65" i="6"/>
  <c r="AN65" i="6"/>
  <c r="AS65" i="6"/>
  <c r="AP77" i="6"/>
  <c r="AK77" i="6"/>
  <c r="AA77" i="6"/>
  <c r="AQ11" i="6"/>
  <c r="AB11" i="6"/>
  <c r="AL11" i="6"/>
  <c r="AL15" i="6"/>
  <c r="AQ15" i="6"/>
  <c r="AB15" i="6"/>
  <c r="AE19" i="6"/>
  <c r="AO19" i="6"/>
  <c r="AN7" i="6"/>
  <c r="AS8" i="6"/>
  <c r="AS7" i="6"/>
  <c r="AB21" i="6"/>
  <c r="AQ21" i="6"/>
  <c r="AE33" i="6"/>
  <c r="AO33" i="6"/>
  <c r="AT33" i="6"/>
  <c r="AS31" i="6"/>
  <c r="AD31" i="6"/>
  <c r="AN31" i="6"/>
  <c r="AA17" i="6"/>
  <c r="AK17" i="6"/>
  <c r="AS38" i="6"/>
  <c r="AD38" i="6"/>
  <c r="AN38" i="6"/>
  <c r="AS41" i="6"/>
  <c r="AD41" i="6"/>
  <c r="AN41" i="6"/>
  <c r="AK38" i="6"/>
  <c r="AP38" i="6"/>
  <c r="AA38" i="6"/>
  <c r="AM45" i="6"/>
  <c r="AC45" i="6"/>
  <c r="AR45" i="6"/>
  <c r="AT60" i="6"/>
  <c r="AE60" i="6"/>
  <c r="AO60" i="6"/>
  <c r="AK37" i="6"/>
  <c r="AP37" i="6"/>
  <c r="AA37" i="6"/>
  <c r="AR50" i="6"/>
  <c r="AM50" i="6"/>
  <c r="AC50" i="6"/>
  <c r="AP53" i="6"/>
  <c r="AK53" i="6"/>
  <c r="AA53" i="6"/>
  <c r="AC54" i="6"/>
  <c r="AM54" i="6"/>
  <c r="AR54" i="6"/>
  <c r="AP48" i="6"/>
  <c r="AK48" i="6"/>
  <c r="AA48" i="6"/>
  <c r="AP56" i="6"/>
  <c r="AK56" i="6"/>
  <c r="AA56" i="6"/>
  <c r="AC72" i="6"/>
  <c r="AM72" i="6"/>
  <c r="AR72" i="6"/>
  <c r="AD89" i="6"/>
  <c r="AS89" i="6"/>
  <c r="AN89" i="6"/>
  <c r="AQ92" i="6"/>
  <c r="AL92" i="6"/>
  <c r="AB92" i="6"/>
  <c r="AP57" i="6"/>
  <c r="AK57" i="6"/>
  <c r="AA57" i="6"/>
  <c r="AP85" i="6"/>
  <c r="AK85" i="6"/>
  <c r="AA85" i="6"/>
  <c r="AC107" i="6"/>
  <c r="AM107" i="6"/>
  <c r="AR107" i="6"/>
  <c r="AT56" i="6"/>
  <c r="AO56" i="6"/>
  <c r="AE56" i="6"/>
  <c r="AD85" i="6"/>
  <c r="AS85" i="6"/>
  <c r="AN85" i="6"/>
  <c r="AR108" i="6"/>
  <c r="AC108" i="6"/>
  <c r="AM108" i="6"/>
  <c r="AP66" i="6"/>
  <c r="AA66" i="6"/>
  <c r="AK66" i="6"/>
  <c r="AP83" i="6"/>
  <c r="AK83" i="6"/>
  <c r="AA83" i="6"/>
  <c r="AS92" i="6"/>
  <c r="AD92" i="6"/>
  <c r="AN92" i="6"/>
  <c r="AB105" i="6"/>
  <c r="AL105" i="6"/>
  <c r="AQ105" i="6"/>
  <c r="AB87" i="6"/>
  <c r="AL87" i="6"/>
  <c r="AQ87" i="6"/>
  <c r="AN10" i="6"/>
  <c r="AP17" i="6"/>
  <c r="AT19" i="6"/>
  <c r="AA26" i="6"/>
  <c r="AQ13" i="6"/>
  <c r="AB13" i="6"/>
  <c r="AL13" i="6"/>
  <c r="AN14" i="6"/>
  <c r="AS14" i="6"/>
  <c r="AD14" i="6"/>
  <c r="AB18" i="6"/>
  <c r="AQ18" i="6"/>
  <c r="AB16" i="6"/>
  <c r="AQ16" i="6"/>
  <c r="AD19" i="6"/>
  <c r="AS19" i="6"/>
  <c r="AB17" i="6"/>
  <c r="AQ17" i="6"/>
  <c r="AS42" i="6"/>
  <c r="AD42" i="6"/>
  <c r="AN42" i="6"/>
  <c r="AS43" i="6"/>
  <c r="AD43" i="6"/>
  <c r="AN43" i="6"/>
  <c r="AS44" i="6"/>
  <c r="AD44" i="6"/>
  <c r="AN44" i="6"/>
  <c r="AD55" i="6"/>
  <c r="AN55" i="6"/>
  <c r="AS55" i="6"/>
  <c r="AE63" i="6"/>
  <c r="AO63" i="6"/>
  <c r="AT63" i="6"/>
  <c r="AT46" i="6"/>
  <c r="AE46" i="6"/>
  <c r="AO46" i="6"/>
  <c r="AD51" i="6"/>
  <c r="AN51" i="6"/>
  <c r="AS51" i="6"/>
  <c r="AB64" i="6"/>
  <c r="AL64" i="6"/>
  <c r="AQ64" i="6"/>
  <c r="AD47" i="6"/>
  <c r="AN47" i="6"/>
  <c r="AS47" i="6"/>
  <c r="AB56" i="6"/>
  <c r="AL56" i="6"/>
  <c r="AQ56" i="6"/>
  <c r="AB62" i="6"/>
  <c r="AL62" i="6"/>
  <c r="AQ62" i="6"/>
  <c r="AC68" i="6"/>
  <c r="AM68" i="6"/>
  <c r="AR68" i="6"/>
  <c r="AQ93" i="6"/>
  <c r="AL93" i="6"/>
  <c r="AB93" i="6"/>
  <c r="AQ95" i="6"/>
  <c r="AB95" i="6"/>
  <c r="AL95" i="6"/>
  <c r="AB61" i="6"/>
  <c r="AL61" i="6"/>
  <c r="AQ61" i="6"/>
  <c r="AD66" i="6"/>
  <c r="AN66" i="6"/>
  <c r="AS66" i="6"/>
  <c r="AD74" i="6"/>
  <c r="AS74" i="6"/>
  <c r="AN74" i="6"/>
  <c r="AB80" i="6"/>
  <c r="AL80" i="6"/>
  <c r="AQ80" i="6"/>
  <c r="AD82" i="6"/>
  <c r="AS82" i="6"/>
  <c r="AN82" i="6"/>
  <c r="AD81" i="6"/>
  <c r="AS81" i="6"/>
  <c r="AN81" i="6"/>
  <c r="AP89" i="6"/>
  <c r="AA89" i="6"/>
  <c r="AK89" i="6"/>
  <c r="AB100" i="6"/>
  <c r="AL100" i="6"/>
  <c r="AQ100" i="6"/>
  <c r="AD101" i="6"/>
  <c r="AN101" i="6"/>
  <c r="AS101" i="6"/>
  <c r="AD103" i="6"/>
  <c r="AN103" i="6"/>
  <c r="AS103" i="6"/>
  <c r="AD105" i="6"/>
  <c r="AN105" i="6"/>
  <c r="AS105" i="6"/>
  <c r="AB65" i="6"/>
  <c r="AL65" i="6"/>
  <c r="AQ65" i="6"/>
  <c r="AB79" i="6"/>
  <c r="AL79" i="6"/>
  <c r="AQ79" i="6"/>
  <c r="AB89" i="6"/>
  <c r="AL89" i="6"/>
  <c r="AQ89" i="6"/>
  <c r="AB72" i="6"/>
  <c r="AL72" i="6"/>
  <c r="AQ72" i="6"/>
  <c r="AD77" i="6"/>
  <c r="AS77" i="6"/>
  <c r="AN77" i="6"/>
  <c r="AD69" i="6"/>
  <c r="AN69" i="6"/>
  <c r="AS69" i="6"/>
  <c r="AD79" i="6"/>
  <c r="AS79" i="6"/>
  <c r="AN79" i="6"/>
  <c r="AB83" i="6"/>
  <c r="AL83" i="6"/>
  <c r="AQ83" i="6"/>
  <c r="AD102" i="6"/>
  <c r="AN102" i="6"/>
  <c r="AS102" i="6"/>
  <c r="AB103" i="6"/>
  <c r="AL103" i="6"/>
  <c r="AQ103" i="6"/>
  <c r="AD107" i="6"/>
  <c r="AN107" i="6"/>
  <c r="AS107" i="6"/>
  <c r="AB81" i="6"/>
  <c r="AL81" i="6"/>
  <c r="AQ81" i="6"/>
  <c r="U8" i="6"/>
  <c r="U7" i="6"/>
  <c r="O7" i="6"/>
  <c r="P7" i="6"/>
  <c r="R7" i="6"/>
  <c r="T7" i="6"/>
  <c r="V8" i="6"/>
  <c r="V7" i="6"/>
  <c r="X8" i="6"/>
  <c r="X7" i="6"/>
  <c r="Z8" i="6"/>
  <c r="Z7" i="6"/>
  <c r="AL7" i="6"/>
  <c r="AQ8" i="6"/>
  <c r="AQ7" i="6"/>
  <c r="AB23" i="6"/>
  <c r="AL23" i="6"/>
  <c r="AQ23" i="6"/>
  <c r="AB24" i="6"/>
  <c r="AL24" i="6"/>
  <c r="AQ24" i="6"/>
  <c r="AB25" i="6"/>
  <c r="AL25" i="6"/>
  <c r="AQ25" i="6"/>
  <c r="AB26" i="6"/>
  <c r="AL26" i="6"/>
  <c r="AQ26" i="6"/>
  <c r="AB27" i="6"/>
  <c r="AL27" i="6"/>
  <c r="AQ27" i="6"/>
  <c r="AB28" i="6"/>
  <c r="AL28" i="6"/>
  <c r="AQ28" i="6"/>
  <c r="AB29" i="6"/>
  <c r="AL29" i="6"/>
  <c r="AQ29" i="6"/>
  <c r="AB30" i="6"/>
  <c r="AL30" i="6"/>
  <c r="AQ30" i="6"/>
  <c r="AA31" i="6"/>
  <c r="AP31" i="6"/>
  <c r="AK31" i="6"/>
  <c r="AD22" i="6"/>
  <c r="AN22" i="6"/>
  <c r="AS22" i="6"/>
  <c r="AD23" i="6"/>
  <c r="AN23" i="6"/>
  <c r="AS23" i="6"/>
  <c r="AD24" i="6"/>
  <c r="AN24" i="6"/>
  <c r="AS24" i="6"/>
  <c r="AD25" i="6"/>
  <c r="AN25" i="6"/>
  <c r="AS25" i="6"/>
  <c r="AD26" i="6"/>
  <c r="AN26" i="6"/>
  <c r="AS26" i="6"/>
  <c r="AD27" i="6"/>
  <c r="AN27" i="6"/>
  <c r="AS27" i="6"/>
  <c r="AD28" i="6"/>
  <c r="AN28" i="6"/>
  <c r="AS28" i="6"/>
  <c r="AD29" i="6"/>
  <c r="AN29" i="6"/>
  <c r="AS29" i="6"/>
  <c r="AD30" i="6"/>
  <c r="AN30" i="6"/>
  <c r="AS30" i="6"/>
  <c r="AB31" i="6"/>
  <c r="AL31" i="6"/>
  <c r="AQ31" i="6"/>
  <c r="H80" i="3"/>
  <c r="H82" i="3"/>
  <c r="H58" i="3"/>
  <c r="H102" i="3"/>
  <c r="H110" i="3"/>
  <c r="H81" i="3"/>
  <c r="H79" i="3"/>
  <c r="H51" i="3"/>
  <c r="H91" i="3"/>
  <c r="H59" i="3"/>
  <c r="H92" i="3"/>
  <c r="H103" i="3"/>
  <c r="H86" i="3"/>
  <c r="H84" i="3"/>
  <c r="H53" i="3"/>
  <c r="H95" i="3"/>
  <c r="H115" i="3"/>
  <c r="H101" i="3"/>
  <c r="H116" i="3"/>
  <c r="H66" i="3"/>
  <c r="H56" i="3"/>
  <c r="H90" i="3"/>
  <c r="H94" i="3"/>
  <c r="H67" i="3"/>
  <c r="H60" i="3"/>
  <c r="H88" i="3"/>
  <c r="H57" i="3"/>
  <c r="H78" i="3"/>
  <c r="H62" i="3"/>
  <c r="H114" i="3"/>
  <c r="H105" i="3"/>
  <c r="H87" i="3"/>
  <c r="H104" i="3"/>
  <c r="H69" i="3"/>
  <c r="H107" i="3"/>
  <c r="H76" i="3"/>
  <c r="H106" i="3"/>
  <c r="H70" i="3"/>
  <c r="H89" i="3"/>
  <c r="H85" i="3"/>
  <c r="H93" i="3"/>
  <c r="H52" i="3"/>
  <c r="H68" i="3"/>
  <c r="H75" i="3"/>
  <c r="H61" i="3"/>
  <c r="H55" i="3"/>
  <c r="H113" i="3"/>
  <c r="H50" i="3"/>
  <c r="H77" i="3"/>
  <c r="H54" i="3"/>
  <c r="H74" i="3"/>
  <c r="H83" i="3"/>
  <c r="AN106" i="6"/>
  <c r="AD106" i="6"/>
  <c r="AS106" i="6"/>
  <c r="AS104" i="6"/>
  <c r="AN104" i="6"/>
  <c r="AD104" i="6"/>
  <c r="AM102" i="6"/>
  <c r="AR102" i="6"/>
  <c r="AC102" i="6"/>
  <c r="AK21" i="6"/>
  <c r="AM18" i="6"/>
  <c r="AD13" i="6"/>
  <c r="AN15" i="6"/>
  <c r="AD11" i="6"/>
  <c r="AB10" i="6"/>
  <c r="AC9" i="6"/>
  <c r="AP26" i="6"/>
  <c r="AC26" i="6"/>
  <c r="AA28" i="6"/>
  <c r="P108" i="6"/>
  <c r="V108" i="6"/>
  <c r="AJ107" i="6"/>
  <c r="Z107" i="6"/>
  <c r="P107" i="6"/>
  <c r="V107" i="6"/>
  <c r="E106" i="6"/>
  <c r="W106" i="6"/>
  <c r="AO102" i="6"/>
  <c r="AE102" i="6"/>
  <c r="AM101" i="6"/>
  <c r="AR101" i="6"/>
  <c r="C101" i="6"/>
  <c r="AG101" i="6"/>
  <c r="G100" i="6"/>
  <c r="Y100" i="6"/>
  <c r="V100" i="6"/>
  <c r="P100" i="6"/>
  <c r="AI99" i="6"/>
  <c r="S99" i="6"/>
  <c r="Y99" i="6"/>
  <c r="C97" i="6"/>
  <c r="AG97" i="6"/>
  <c r="AO95" i="6"/>
  <c r="AE95" i="6"/>
  <c r="Y94" i="6"/>
  <c r="S94" i="6"/>
  <c r="U94" i="6"/>
  <c r="C94" i="6"/>
  <c r="H93" i="6"/>
  <c r="T93" i="6"/>
  <c r="AJ93" i="6"/>
  <c r="AO93" i="6"/>
  <c r="AF92" i="6"/>
  <c r="G92" i="6"/>
  <c r="D92" i="6"/>
  <c r="P92" i="6"/>
  <c r="AF91" i="6"/>
  <c r="AG91" i="6"/>
  <c r="G90" i="6"/>
  <c r="S90" i="6"/>
  <c r="Y90" i="6"/>
  <c r="U90" i="6"/>
  <c r="O90" i="6"/>
  <c r="T87" i="6"/>
  <c r="Q87" i="6"/>
  <c r="E87" i="6"/>
  <c r="U87" i="6"/>
  <c r="AF87" i="6"/>
  <c r="O87" i="6"/>
  <c r="AH86" i="6"/>
  <c r="E86" i="6"/>
  <c r="T84" i="6"/>
  <c r="C108" i="6"/>
  <c r="U108" i="6"/>
  <c r="AF108" i="6"/>
  <c r="F106" i="6"/>
  <c r="X106" i="6"/>
  <c r="G105" i="6"/>
  <c r="S105" i="6"/>
  <c r="G104" i="6"/>
  <c r="Y104" i="6"/>
  <c r="E102" i="6"/>
  <c r="Q102" i="6"/>
  <c r="C102" i="6"/>
  <c r="AF102" i="6"/>
  <c r="AJ101" i="6"/>
  <c r="H101" i="6"/>
  <c r="T101" i="6"/>
  <c r="C100" i="6"/>
  <c r="U100" i="6"/>
  <c r="AF100" i="6"/>
  <c r="AD96" i="6"/>
  <c r="AS96" i="6"/>
  <c r="U95" i="6"/>
  <c r="C95" i="6"/>
  <c r="AK94" i="6"/>
  <c r="AA94" i="6"/>
  <c r="AP94" i="6"/>
  <c r="F94" i="6"/>
  <c r="X94" i="6"/>
  <c r="Y93" i="6"/>
  <c r="G93" i="6"/>
  <c r="C92" i="6"/>
  <c r="U92" i="6"/>
  <c r="S91" i="6"/>
  <c r="Y91" i="6"/>
  <c r="AI91" i="6"/>
  <c r="AT90" i="6"/>
  <c r="AO90" i="6"/>
  <c r="G88" i="6"/>
  <c r="S88" i="6"/>
  <c r="F87" i="6"/>
  <c r="X87" i="6"/>
  <c r="D86" i="6"/>
  <c r="P86" i="6"/>
  <c r="D84" i="6"/>
  <c r="P84" i="6"/>
  <c r="G79" i="6"/>
  <c r="AE76" i="6"/>
  <c r="O81" i="6"/>
  <c r="AI90" i="6"/>
  <c r="AF80" i="6"/>
  <c r="AM79" i="6"/>
  <c r="X79" i="6"/>
  <c r="E79" i="6"/>
  <c r="AJ77" i="6"/>
  <c r="AF76" i="6"/>
  <c r="U76" i="6"/>
  <c r="R76" i="6"/>
  <c r="AS75" i="6"/>
  <c r="AF73" i="6"/>
  <c r="O73" i="6"/>
  <c r="S71" i="6"/>
  <c r="AG71" i="6"/>
  <c r="U68" i="6"/>
  <c r="AI68" i="6"/>
  <c r="AG67" i="6"/>
  <c r="T66" i="6"/>
  <c r="AJ64" i="6"/>
  <c r="T64" i="6"/>
  <c r="AF62" i="6"/>
  <c r="AK62" i="6"/>
  <c r="AK61" i="6"/>
  <c r="O61" i="6"/>
  <c r="AJ59" i="6"/>
  <c r="W59" i="6"/>
  <c r="AJ58" i="6"/>
  <c r="AH55" i="6"/>
  <c r="W55" i="6"/>
  <c r="Q55" i="6"/>
  <c r="Q50" i="6"/>
  <c r="W50" i="6"/>
  <c r="AT48" i="6"/>
  <c r="AO48" i="6"/>
  <c r="G46" i="6"/>
  <c r="AI46" i="6"/>
  <c r="E46" i="6"/>
  <c r="W46" i="6"/>
  <c r="C46" i="6"/>
  <c r="AG46" i="6"/>
  <c r="D45" i="6"/>
  <c r="P45" i="6"/>
  <c r="F43" i="6"/>
  <c r="R43" i="6"/>
  <c r="D43" i="6"/>
  <c r="V43" i="6"/>
  <c r="AH42" i="6"/>
  <c r="F41" i="6"/>
  <c r="X41" i="6"/>
  <c r="D41" i="6"/>
  <c r="P41" i="6"/>
  <c r="AH38" i="6"/>
  <c r="W38" i="6"/>
  <c r="P36" i="6"/>
  <c r="V36" i="6"/>
  <c r="T35" i="6"/>
  <c r="H35" i="6"/>
  <c r="T34" i="6"/>
  <c r="H34" i="6"/>
  <c r="E34" i="6"/>
  <c r="Q34" i="6"/>
  <c r="W34" i="6"/>
  <c r="C34" i="6"/>
  <c r="AF34" i="6"/>
  <c r="C33" i="6"/>
  <c r="O33" i="6"/>
  <c r="AF33" i="6"/>
  <c r="AG32" i="6"/>
  <c r="W32" i="6"/>
  <c r="AH32" i="6"/>
  <c r="E21" i="6"/>
  <c r="AH21" i="6"/>
  <c r="E19" i="6"/>
  <c r="W19" i="6"/>
  <c r="AA16" i="6"/>
  <c r="AP16" i="6"/>
  <c r="E15" i="6"/>
  <c r="W15" i="6"/>
  <c r="AH15" i="6"/>
  <c r="AC12" i="6"/>
  <c r="AM12" i="6"/>
  <c r="H12" i="6"/>
  <c r="T12" i="6"/>
  <c r="Z12" i="6"/>
  <c r="E11" i="6"/>
  <c r="W11" i="6"/>
  <c r="AH11" i="6"/>
  <c r="G52" i="6"/>
  <c r="S52" i="6"/>
  <c r="Y52" i="6"/>
  <c r="AH49" i="6"/>
  <c r="Q49" i="6"/>
  <c r="T47" i="6"/>
  <c r="AJ47" i="6"/>
  <c r="C45" i="6"/>
  <c r="AF45" i="6"/>
  <c r="X36" i="6"/>
  <c r="R36" i="6"/>
  <c r="C36" i="6"/>
  <c r="AG36" i="6"/>
  <c r="X34" i="6"/>
  <c r="AI34" i="6"/>
  <c r="T32" i="6"/>
  <c r="Z32" i="6"/>
  <c r="AJ32" i="6"/>
  <c r="P32" i="6"/>
  <c r="D32" i="6"/>
  <c r="E31" i="6"/>
  <c r="Q31" i="6"/>
  <c r="W31" i="6"/>
  <c r="AH31" i="6"/>
  <c r="AC14" i="6"/>
  <c r="AM14" i="6"/>
  <c r="H14" i="6"/>
  <c r="T14" i="6"/>
  <c r="Z14" i="6"/>
  <c r="E13" i="6"/>
  <c r="W13" i="6"/>
  <c r="AH13" i="6"/>
  <c r="AG49" i="6"/>
  <c r="Y9" i="6"/>
  <c r="AI9" i="6"/>
  <c r="AT100" i="6"/>
  <c r="AO100" i="6"/>
  <c r="AE100" i="6"/>
  <c r="E103" i="6"/>
  <c r="W103" i="6"/>
  <c r="E100" i="6"/>
  <c r="AH100" i="6"/>
  <c r="AA108" i="6"/>
  <c r="Y108" i="6"/>
  <c r="AI108" i="6"/>
  <c r="AN108" i="6"/>
  <c r="E105" i="6"/>
  <c r="W105" i="6"/>
  <c r="S103" i="6"/>
  <c r="G102" i="6"/>
  <c r="S102" i="6"/>
  <c r="H79" i="6"/>
  <c r="AJ79" i="6"/>
  <c r="D79" i="6"/>
  <c r="P79" i="6"/>
  <c r="G78" i="6"/>
  <c r="S78" i="6"/>
  <c r="W78" i="6"/>
  <c r="AH78" i="6"/>
  <c r="W76" i="6"/>
  <c r="AH76" i="6"/>
  <c r="AH75" i="6"/>
  <c r="W75" i="6"/>
  <c r="G74" i="6"/>
  <c r="Y74" i="6"/>
  <c r="E74" i="6"/>
  <c r="Q74" i="6"/>
  <c r="Z96" i="6"/>
  <c r="AF95" i="6"/>
  <c r="X95" i="6"/>
  <c r="R95" i="6"/>
  <c r="E95" i="6"/>
  <c r="AT94" i="6"/>
  <c r="AE94" i="6"/>
  <c r="AH94" i="6"/>
  <c r="Z94" i="6"/>
  <c r="W94" i="6"/>
  <c r="O94" i="6"/>
  <c r="AP93" i="6"/>
  <c r="AH93" i="6"/>
  <c r="AC93" i="6"/>
  <c r="X93" i="6"/>
  <c r="R93" i="6"/>
  <c r="E93" i="6"/>
  <c r="AT92" i="6"/>
  <c r="AE92" i="6"/>
  <c r="T92" i="6"/>
  <c r="R92" i="6"/>
  <c r="AM90" i="6"/>
  <c r="C90" i="6"/>
  <c r="AE88" i="6"/>
  <c r="AA88" i="6"/>
  <c r="X88" i="6"/>
  <c r="AH87" i="6"/>
  <c r="W87" i="6"/>
  <c r="P87" i="6"/>
  <c r="P85" i="6"/>
  <c r="AJ84" i="6"/>
  <c r="X84" i="6"/>
  <c r="S84" i="6"/>
  <c r="AJ83" i="6"/>
  <c r="P83" i="6"/>
  <c r="AH82" i="6"/>
  <c r="P82" i="6"/>
  <c r="X81" i="6"/>
  <c r="E81" i="6"/>
  <c r="AJ80" i="6"/>
  <c r="X80" i="6"/>
  <c r="P80" i="6"/>
  <c r="G80" i="6"/>
  <c r="S80" i="6"/>
  <c r="E77" i="6"/>
  <c r="D77" i="6"/>
  <c r="P77" i="6"/>
  <c r="Q75" i="6"/>
  <c r="G75" i="6"/>
  <c r="Y75" i="6"/>
  <c r="E75" i="6"/>
  <c r="AG74" i="6"/>
  <c r="S74" i="6"/>
  <c r="T74" i="6"/>
  <c r="AJ74" i="6"/>
  <c r="AT73" i="6"/>
  <c r="AE73" i="6"/>
  <c r="AH73" i="6"/>
  <c r="Q73" i="6"/>
  <c r="AF72" i="6"/>
  <c r="W71" i="6"/>
  <c r="Q71" i="6"/>
  <c r="AJ70" i="6"/>
  <c r="Y70" i="6"/>
  <c r="Q70" i="6"/>
  <c r="AE69" i="6"/>
  <c r="AH69" i="6"/>
  <c r="W69" i="6"/>
  <c r="O69" i="6"/>
  <c r="AI67" i="6"/>
  <c r="AN67" i="6"/>
  <c r="AH66" i="6"/>
  <c r="W66" i="6"/>
  <c r="Q66" i="6"/>
  <c r="AE65" i="6"/>
  <c r="AH65" i="6"/>
  <c r="W65" i="6"/>
  <c r="O65" i="6"/>
  <c r="AH64" i="6"/>
  <c r="AR64" i="6"/>
  <c r="W64" i="6"/>
  <c r="AP63" i="6"/>
  <c r="Y63" i="6"/>
  <c r="AH62" i="6"/>
  <c r="Q62" i="6"/>
  <c r="AP61" i="6"/>
  <c r="Y61" i="6"/>
  <c r="AH60" i="6"/>
  <c r="U60" i="6"/>
  <c r="O60" i="6"/>
  <c r="AI60" i="6"/>
  <c r="AT59" i="6"/>
  <c r="O58" i="6"/>
  <c r="AI57" i="6"/>
  <c r="Q57" i="6"/>
  <c r="Y56" i="6"/>
  <c r="AE55" i="6"/>
  <c r="X54" i="6"/>
  <c r="AH52" i="6"/>
  <c r="AE51" i="6"/>
  <c r="AH51" i="6"/>
  <c r="Q51" i="6"/>
  <c r="AF50" i="6"/>
  <c r="AI49" i="6"/>
  <c r="S49" i="6"/>
  <c r="P49" i="6"/>
  <c r="AG48" i="6"/>
  <c r="S48" i="6"/>
  <c r="AF46" i="6"/>
  <c r="X46" i="6"/>
  <c r="V46" i="6"/>
  <c r="S46" i="6"/>
  <c r="Q46" i="6"/>
  <c r="O46" i="6"/>
  <c r="R45" i="6"/>
  <c r="AH44" i="6"/>
  <c r="P44" i="6"/>
  <c r="AJ42" i="6"/>
  <c r="Z42" i="6"/>
  <c r="R42" i="6"/>
  <c r="V41" i="6"/>
  <c r="R41" i="6"/>
  <c r="AF40" i="6"/>
  <c r="T39" i="6"/>
  <c r="X38" i="6"/>
  <c r="R38" i="6"/>
  <c r="AH37" i="6"/>
  <c r="P37" i="6"/>
  <c r="AJ35" i="6"/>
  <c r="Z35" i="6"/>
  <c r="S35" i="6"/>
  <c r="AT34" i="6"/>
  <c r="AO34" i="6"/>
  <c r="AG33" i="6"/>
  <c r="V33" i="6"/>
  <c r="R33" i="6"/>
  <c r="AO31" i="6"/>
  <c r="G31" i="6"/>
  <c r="G29" i="6"/>
  <c r="S29" i="6"/>
  <c r="E28" i="6"/>
  <c r="W28" i="6"/>
  <c r="E25" i="6"/>
  <c r="W25" i="6"/>
  <c r="AI20" i="6"/>
  <c r="W20" i="6"/>
  <c r="Y18" i="6"/>
  <c r="AJ17" i="6"/>
  <c r="AJ15" i="6"/>
  <c r="AF15" i="6"/>
  <c r="AP15" i="6"/>
  <c r="X15" i="6"/>
  <c r="V15" i="6"/>
  <c r="S15" i="6"/>
  <c r="P15" i="6"/>
  <c r="AJ14" i="6"/>
  <c r="AF14" i="6"/>
  <c r="AK14" i="6"/>
  <c r="X14" i="6"/>
  <c r="V14" i="6"/>
  <c r="S14" i="6"/>
  <c r="P14" i="6"/>
  <c r="AJ13" i="6"/>
  <c r="AF13" i="6"/>
  <c r="AK13" i="6"/>
  <c r="X13" i="6"/>
  <c r="V13" i="6"/>
  <c r="S13" i="6"/>
  <c r="P13" i="6"/>
  <c r="AJ12" i="6"/>
  <c r="AF12" i="6"/>
  <c r="AK12" i="6"/>
  <c r="X12" i="6"/>
  <c r="V12" i="6"/>
  <c r="S12" i="6"/>
  <c r="P12" i="6"/>
  <c r="AJ11" i="6"/>
  <c r="AF11" i="6"/>
  <c r="AK11" i="6"/>
  <c r="X11" i="6"/>
  <c r="V11" i="6"/>
  <c r="S11" i="6"/>
  <c r="P11" i="6"/>
  <c r="B44" i="8"/>
  <c r="B45" i="8"/>
  <c r="AT106" i="6"/>
  <c r="AO106" i="6"/>
  <c r="AE106" i="6"/>
  <c r="AT104" i="6"/>
  <c r="AE104" i="6"/>
  <c r="AO104" i="6"/>
  <c r="AT101" i="6"/>
  <c r="AE101" i="6"/>
  <c r="AO101" i="6"/>
  <c r="AP98" i="6"/>
  <c r="AK98" i="6"/>
  <c r="AA98" i="6"/>
  <c r="AM97" i="6"/>
  <c r="AR97" i="6"/>
  <c r="AC97" i="6"/>
  <c r="AD108" i="6"/>
  <c r="AS108" i="6"/>
  <c r="AT99" i="6"/>
  <c r="AE99" i="6"/>
  <c r="AO99" i="6"/>
  <c r="AC94" i="6"/>
  <c r="AM94" i="6"/>
  <c r="AR94" i="6"/>
  <c r="D93" i="6"/>
  <c r="P93" i="6"/>
  <c r="V93" i="6"/>
  <c r="AD67" i="6"/>
  <c r="AS67" i="6"/>
  <c r="Q108" i="6"/>
  <c r="AG107" i="6"/>
  <c r="AF107" i="6"/>
  <c r="U107" i="6"/>
  <c r="AF106" i="6"/>
  <c r="S106" i="6"/>
  <c r="AH105" i="6"/>
  <c r="AF104" i="6"/>
  <c r="S104" i="6"/>
  <c r="AH103" i="6"/>
  <c r="AF101" i="6"/>
  <c r="U101" i="6"/>
  <c r="O101" i="6"/>
  <c r="AI100" i="6"/>
  <c r="W100" i="6"/>
  <c r="AH99" i="6"/>
  <c r="AF99" i="6"/>
  <c r="W99" i="6"/>
  <c r="AG99" i="6"/>
  <c r="O98" i="6"/>
  <c r="AJ97" i="6"/>
  <c r="AJ96" i="6"/>
  <c r="V96" i="6"/>
  <c r="P96" i="6"/>
  <c r="AR95" i="6"/>
  <c r="AM95" i="6"/>
  <c r="V95" i="6"/>
  <c r="P95" i="6"/>
  <c r="E94" i="6"/>
  <c r="D94" i="6"/>
  <c r="P94" i="6"/>
  <c r="V94" i="6"/>
  <c r="AT93" i="6"/>
  <c r="AE93" i="6"/>
  <c r="AM93" i="6"/>
  <c r="Z93" i="6"/>
  <c r="AC67" i="6"/>
  <c r="AM67" i="6"/>
  <c r="AR67" i="6"/>
  <c r="U91" i="6"/>
  <c r="AG90" i="6"/>
  <c r="W90" i="6"/>
  <c r="AK88" i="6"/>
  <c r="AI88" i="6"/>
  <c r="AH88" i="6"/>
  <c r="Y88" i="6"/>
  <c r="T88" i="6"/>
  <c r="P88" i="6"/>
  <c r="AJ86" i="6"/>
  <c r="T86" i="6"/>
  <c r="AJ85" i="6"/>
  <c r="T85" i="6"/>
  <c r="AF84" i="6"/>
  <c r="O84" i="6"/>
  <c r="AR83" i="6"/>
  <c r="T83" i="6"/>
  <c r="X82" i="6"/>
  <c r="T82" i="6"/>
  <c r="AJ81" i="6"/>
  <c r="T81" i="6"/>
  <c r="O80" i="6"/>
  <c r="AR79" i="6"/>
  <c r="T79" i="6"/>
  <c r="AJ78" i="6"/>
  <c r="AF78" i="6"/>
  <c r="T78" i="6"/>
  <c r="P78" i="6"/>
  <c r="X77" i="6"/>
  <c r="AN75" i="6"/>
  <c r="AG75" i="6"/>
  <c r="S75" i="6"/>
  <c r="AH74" i="6"/>
  <c r="W74" i="6"/>
  <c r="AO73" i="6"/>
  <c r="W73" i="6"/>
  <c r="AI72" i="6"/>
  <c r="U72" i="6"/>
  <c r="AM71" i="6"/>
  <c r="AI71" i="6"/>
  <c r="Y71" i="6"/>
  <c r="AH70" i="6"/>
  <c r="W70" i="6"/>
  <c r="AO69" i="6"/>
  <c r="AF69" i="6"/>
  <c r="AF68" i="6"/>
  <c r="W67" i="6"/>
  <c r="Q67" i="6"/>
  <c r="E67" i="6"/>
  <c r="Y66" i="6"/>
  <c r="S66" i="6"/>
  <c r="AO65" i="6"/>
  <c r="AF65" i="6"/>
  <c r="C64" i="6"/>
  <c r="O64" i="6"/>
  <c r="X63" i="6"/>
  <c r="AI63" i="6"/>
  <c r="U62" i="6"/>
  <c r="O62" i="6"/>
  <c r="G62" i="6"/>
  <c r="S62" i="6"/>
  <c r="Y62" i="6"/>
  <c r="E61" i="6"/>
  <c r="Q61" i="6"/>
  <c r="AH61" i="6"/>
  <c r="AR60" i="6"/>
  <c r="AA60" i="6"/>
  <c r="AK60" i="6"/>
  <c r="AP60" i="6"/>
  <c r="C59" i="6"/>
  <c r="AF59" i="6"/>
  <c r="AM53" i="6"/>
  <c r="AR53" i="6"/>
  <c r="AC53" i="6"/>
  <c r="F64" i="6"/>
  <c r="X64" i="6"/>
  <c r="E63" i="6"/>
  <c r="Q63" i="6"/>
  <c r="AH63" i="6"/>
  <c r="AA62" i="6"/>
  <c r="AP62" i="6"/>
  <c r="X61" i="6"/>
  <c r="AI61" i="6"/>
  <c r="G60" i="6"/>
  <c r="S60" i="6"/>
  <c r="Y60" i="6"/>
  <c r="AR57" i="6"/>
  <c r="AC57" i="6"/>
  <c r="AM57" i="6"/>
  <c r="AD53" i="6"/>
  <c r="AN53" i="6"/>
  <c r="E33" i="6"/>
  <c r="Q33" i="6"/>
  <c r="W33" i="6"/>
  <c r="AN32" i="6"/>
  <c r="AS32" i="6"/>
  <c r="AF58" i="6"/>
  <c r="U58" i="6"/>
  <c r="Y57" i="6"/>
  <c r="S57" i="6"/>
  <c r="AH56" i="6"/>
  <c r="W56" i="6"/>
  <c r="Q56" i="6"/>
  <c r="AO55" i="6"/>
  <c r="U55" i="6"/>
  <c r="AF54" i="6"/>
  <c r="U54" i="6"/>
  <c r="W53" i="6"/>
  <c r="Q53" i="6"/>
  <c r="E53" i="6"/>
  <c r="W52" i="6"/>
  <c r="Q52" i="6"/>
  <c r="AO51" i="6"/>
  <c r="W51" i="6"/>
  <c r="AJ50" i="6"/>
  <c r="U50" i="6"/>
  <c r="AS49" i="6"/>
  <c r="AM49" i="6"/>
  <c r="Y48" i="6"/>
  <c r="AH47" i="6"/>
  <c r="AF47" i="6"/>
  <c r="W47" i="6"/>
  <c r="AG47" i="6"/>
  <c r="AR46" i="6"/>
  <c r="AM46" i="6"/>
  <c r="AJ45" i="6"/>
  <c r="Z45" i="6"/>
  <c r="T45" i="6"/>
  <c r="X44" i="6"/>
  <c r="AJ43" i="6"/>
  <c r="Z43" i="6"/>
  <c r="T43" i="6"/>
  <c r="X42" i="6"/>
  <c r="AJ41" i="6"/>
  <c r="Z41" i="6"/>
  <c r="T41" i="6"/>
  <c r="AH40" i="6"/>
  <c r="Z40" i="6"/>
  <c r="T40" i="6"/>
  <c r="P40" i="6"/>
  <c r="AF39" i="6"/>
  <c r="X39" i="6"/>
  <c r="R39" i="6"/>
  <c r="V38" i="6"/>
  <c r="P38" i="6"/>
  <c r="X37" i="6"/>
  <c r="W35" i="6"/>
  <c r="X33" i="6"/>
  <c r="AI33" i="6"/>
  <c r="AD32" i="6"/>
  <c r="X32" i="6"/>
  <c r="R32" i="6"/>
  <c r="Y31" i="6"/>
  <c r="S28" i="6"/>
  <c r="S25" i="6"/>
  <c r="AF24" i="6"/>
  <c r="S22" i="6"/>
  <c r="AJ21" i="6"/>
  <c r="AJ20" i="6"/>
  <c r="Y20" i="6"/>
  <c r="S20" i="6"/>
  <c r="AM19" i="6"/>
  <c r="AG19" i="6"/>
  <c r="AF19" i="6"/>
  <c r="AJ18" i="6"/>
  <c r="AI18" i="6"/>
  <c r="S18" i="6"/>
  <c r="AH17" i="6"/>
  <c r="Q17" i="6"/>
  <c r="AI16" i="6"/>
  <c r="F16" i="6"/>
  <c r="X16" i="6"/>
  <c r="AA15" i="6"/>
  <c r="AK15" i="6"/>
  <c r="AA14" i="6"/>
  <c r="AP14" i="6"/>
  <c r="AA13" i="6"/>
  <c r="AP13" i="6"/>
  <c r="AA12" i="6"/>
  <c r="AP12" i="6"/>
  <c r="AA11" i="6"/>
  <c r="AP11" i="6"/>
  <c r="C9" i="6"/>
  <c r="AF9" i="6"/>
  <c r="AG9" i="6"/>
  <c r="AO8" i="6"/>
  <c r="G16" i="6"/>
  <c r="S16" i="6"/>
  <c r="AC10" i="6"/>
  <c r="AM10" i="6"/>
  <c r="AR10" i="6"/>
  <c r="C35" i="7"/>
  <c r="B36" i="7"/>
  <c r="K11" i="3"/>
  <c r="S7" i="6"/>
  <c r="H63" i="3"/>
  <c r="J36" i="7"/>
  <c r="G41" i="3"/>
  <c r="E43" i="3"/>
  <c r="F43" i="3"/>
  <c r="I41" i="3"/>
  <c r="I43" i="3"/>
  <c r="I44" i="3"/>
  <c r="G43" i="3"/>
  <c r="H41" i="3"/>
  <c r="E41" i="3"/>
  <c r="J44" i="3"/>
  <c r="F41" i="3"/>
  <c r="J43" i="3"/>
  <c r="AS9" i="6"/>
  <c r="AD9" i="6"/>
  <c r="AN9" i="6"/>
  <c r="AB49" i="6"/>
  <c r="AQ49" i="6"/>
  <c r="AL49" i="6"/>
  <c r="AN34" i="6"/>
  <c r="AS34" i="6"/>
  <c r="AD34" i="6"/>
  <c r="AQ36" i="6"/>
  <c r="AB36" i="6"/>
  <c r="AL36" i="6"/>
  <c r="AK45" i="6"/>
  <c r="AA45" i="6"/>
  <c r="AP45" i="6"/>
  <c r="AT47" i="6"/>
  <c r="AO47" i="6"/>
  <c r="AC21" i="6"/>
  <c r="AM21" i="6"/>
  <c r="AR21" i="6"/>
  <c r="AM32" i="6"/>
  <c r="AC32" i="6"/>
  <c r="AR32" i="6"/>
  <c r="AQ32" i="6"/>
  <c r="AL32" i="6"/>
  <c r="AB32" i="6"/>
  <c r="AA34" i="6"/>
  <c r="AK34" i="6"/>
  <c r="AP34" i="6"/>
  <c r="AM38" i="6"/>
  <c r="AR38" i="6"/>
  <c r="AC38" i="6"/>
  <c r="AQ46" i="6"/>
  <c r="AL46" i="6"/>
  <c r="AB46" i="6"/>
  <c r="AD46" i="6"/>
  <c r="AN46" i="6"/>
  <c r="AS46" i="6"/>
  <c r="AR55" i="6"/>
  <c r="AC55" i="6"/>
  <c r="AM55" i="6"/>
  <c r="AT64" i="6"/>
  <c r="AO64" i="6"/>
  <c r="AE64" i="6"/>
  <c r="AB67" i="6"/>
  <c r="AQ67" i="6"/>
  <c r="AL67" i="6"/>
  <c r="AA73" i="6"/>
  <c r="AK73" i="6"/>
  <c r="AP73" i="6"/>
  <c r="AK76" i="6"/>
  <c r="AP76" i="6"/>
  <c r="AA76" i="6"/>
  <c r="AN90" i="6"/>
  <c r="AD90" i="6"/>
  <c r="AS90" i="6"/>
  <c r="AS91" i="6"/>
  <c r="AD91" i="6"/>
  <c r="AN91" i="6"/>
  <c r="AA100" i="6"/>
  <c r="AP100" i="6"/>
  <c r="AK100" i="6"/>
  <c r="AP102" i="6"/>
  <c r="AA102" i="6"/>
  <c r="AK102" i="6"/>
  <c r="AK108" i="6"/>
  <c r="AP108" i="6"/>
  <c r="AA91" i="6"/>
  <c r="AP91" i="6"/>
  <c r="AK91" i="6"/>
  <c r="AK92" i="6"/>
  <c r="AA92" i="6"/>
  <c r="AP92" i="6"/>
  <c r="AB97" i="6"/>
  <c r="AQ97" i="6"/>
  <c r="AL97" i="6"/>
  <c r="AD99" i="6"/>
  <c r="AS99" i="6"/>
  <c r="AN99" i="6"/>
  <c r="AT107" i="6"/>
  <c r="AE107" i="6"/>
  <c r="AO107" i="6"/>
  <c r="AR93" i="6"/>
  <c r="AE47" i="6"/>
  <c r="AC13" i="6"/>
  <c r="AM13" i="6"/>
  <c r="AR13" i="6"/>
  <c r="AC31" i="6"/>
  <c r="AM31" i="6"/>
  <c r="AR31" i="6"/>
  <c r="AT32" i="6"/>
  <c r="AO32" i="6"/>
  <c r="AE32" i="6"/>
  <c r="AC49" i="6"/>
  <c r="AR49" i="6"/>
  <c r="AC11" i="6"/>
  <c r="AM11" i="6"/>
  <c r="AR11" i="6"/>
  <c r="AC15" i="6"/>
  <c r="AR15" i="6"/>
  <c r="AM15" i="6"/>
  <c r="AA33" i="6"/>
  <c r="AP33" i="6"/>
  <c r="AK33" i="6"/>
  <c r="AR42" i="6"/>
  <c r="AC42" i="6"/>
  <c r="AM42" i="6"/>
  <c r="AT58" i="6"/>
  <c r="AE58" i="6"/>
  <c r="AO58" i="6"/>
  <c r="AE59" i="6"/>
  <c r="AO59" i="6"/>
  <c r="AD68" i="6"/>
  <c r="AS68" i="6"/>
  <c r="AN68" i="6"/>
  <c r="AB71" i="6"/>
  <c r="AQ71" i="6"/>
  <c r="AL71" i="6"/>
  <c r="AE77" i="6"/>
  <c r="AT77" i="6"/>
  <c r="AO77" i="6"/>
  <c r="AK80" i="6"/>
  <c r="AP80" i="6"/>
  <c r="AA80" i="6"/>
  <c r="AR86" i="6"/>
  <c r="AC86" i="6"/>
  <c r="AM86" i="6"/>
  <c r="AP87" i="6"/>
  <c r="AA87" i="6"/>
  <c r="AK87" i="6"/>
  <c r="AL91" i="6"/>
  <c r="AQ91" i="6"/>
  <c r="AB91" i="6"/>
  <c r="AQ101" i="6"/>
  <c r="AB101" i="6"/>
  <c r="AL101" i="6"/>
  <c r="AE11" i="6"/>
  <c r="AT11" i="6"/>
  <c r="AO11" i="6"/>
  <c r="AE12" i="6"/>
  <c r="AT12" i="6"/>
  <c r="AO12" i="6"/>
  <c r="AE13" i="6"/>
  <c r="AT13" i="6"/>
  <c r="AO13" i="6"/>
  <c r="AE14" i="6"/>
  <c r="AT14" i="6"/>
  <c r="AO14" i="6"/>
  <c r="AT15" i="6"/>
  <c r="AE15" i="6"/>
  <c r="AO15" i="6"/>
  <c r="AD20" i="6"/>
  <c r="AS20" i="6"/>
  <c r="AN20" i="6"/>
  <c r="AE35" i="6"/>
  <c r="AT35" i="6"/>
  <c r="AO35" i="6"/>
  <c r="AR37" i="6"/>
  <c r="AC37" i="6"/>
  <c r="AM37" i="6"/>
  <c r="AP40" i="6"/>
  <c r="AK40" i="6"/>
  <c r="AA40" i="6"/>
  <c r="AP46" i="6"/>
  <c r="AA46" i="6"/>
  <c r="AK46" i="6"/>
  <c r="AD49" i="6"/>
  <c r="AN49" i="6"/>
  <c r="AN57" i="6"/>
  <c r="AD57" i="6"/>
  <c r="AS57" i="6"/>
  <c r="AC60" i="6"/>
  <c r="AM60" i="6"/>
  <c r="AC62" i="6"/>
  <c r="AR62" i="6"/>
  <c r="AM62" i="6"/>
  <c r="AC64" i="6"/>
  <c r="AM64" i="6"/>
  <c r="AP72" i="6"/>
  <c r="AA72" i="6"/>
  <c r="AK72" i="6"/>
  <c r="AC73" i="6"/>
  <c r="AM73" i="6"/>
  <c r="AR73" i="6"/>
  <c r="AL74" i="6"/>
  <c r="AB74" i="6"/>
  <c r="AQ74" i="6"/>
  <c r="AT80" i="6"/>
  <c r="AE80" i="6"/>
  <c r="AO80" i="6"/>
  <c r="AR82" i="6"/>
  <c r="AC82" i="6"/>
  <c r="AM82" i="6"/>
  <c r="AE83" i="6"/>
  <c r="AO83" i="6"/>
  <c r="AT83" i="6"/>
  <c r="AC75" i="6"/>
  <c r="AM75" i="6"/>
  <c r="AR75" i="6"/>
  <c r="AE17" i="6"/>
  <c r="AT17" i="6"/>
  <c r="AO17" i="6"/>
  <c r="AB33" i="6"/>
  <c r="AQ33" i="6"/>
  <c r="AL33" i="6"/>
  <c r="AO42" i="6"/>
  <c r="AE42" i="6"/>
  <c r="AT42" i="6"/>
  <c r="AM44" i="6"/>
  <c r="AC44" i="6"/>
  <c r="AR44" i="6"/>
  <c r="AL48" i="6"/>
  <c r="AB48" i="6"/>
  <c r="AQ48" i="6"/>
  <c r="AP50" i="6"/>
  <c r="AK50" i="6"/>
  <c r="AA50" i="6"/>
  <c r="AC51" i="6"/>
  <c r="AR51" i="6"/>
  <c r="AM51" i="6"/>
  <c r="AC52" i="6"/>
  <c r="AR52" i="6"/>
  <c r="AM52" i="6"/>
  <c r="AN60" i="6"/>
  <c r="AD60" i="6"/>
  <c r="AS60" i="6"/>
  <c r="AC65" i="6"/>
  <c r="AR65" i="6"/>
  <c r="AM65" i="6"/>
  <c r="AR66" i="6"/>
  <c r="AM66" i="6"/>
  <c r="AC66" i="6"/>
  <c r="AC69" i="6"/>
  <c r="AR69" i="6"/>
  <c r="AM69" i="6"/>
  <c r="AT70" i="6"/>
  <c r="AO70" i="6"/>
  <c r="AE70" i="6"/>
  <c r="AE74" i="6"/>
  <c r="AT74" i="6"/>
  <c r="AO74" i="6"/>
  <c r="AT84" i="6"/>
  <c r="AE84" i="6"/>
  <c r="AO84" i="6"/>
  <c r="AM87" i="6"/>
  <c r="AC87" i="6"/>
  <c r="AR87" i="6"/>
  <c r="AA95" i="6"/>
  <c r="AP95" i="6"/>
  <c r="AK95" i="6"/>
  <c r="AC76" i="6"/>
  <c r="AM76" i="6"/>
  <c r="AR76" i="6"/>
  <c r="AM78" i="6"/>
  <c r="AR78" i="6"/>
  <c r="AC78" i="6"/>
  <c r="AE79" i="6"/>
  <c r="AO79" i="6"/>
  <c r="AT79" i="6"/>
  <c r="AM100" i="6"/>
  <c r="AC100" i="6"/>
  <c r="AR100" i="6"/>
  <c r="N11" i="3"/>
  <c r="N12" i="3"/>
  <c r="AO7" i="6"/>
  <c r="AT8" i="6"/>
  <c r="AT7" i="6"/>
  <c r="AK9" i="6"/>
  <c r="AP9" i="6"/>
  <c r="AA9" i="6"/>
  <c r="AD16" i="6"/>
  <c r="AS16" i="6"/>
  <c r="AN16" i="6"/>
  <c r="AC17" i="6"/>
  <c r="AM17" i="6"/>
  <c r="AR17" i="6"/>
  <c r="AD18" i="6"/>
  <c r="AS18" i="6"/>
  <c r="AN18" i="6"/>
  <c r="AA19" i="6"/>
  <c r="AK19" i="6"/>
  <c r="AP19" i="6"/>
  <c r="AO21" i="6"/>
  <c r="AT21" i="6"/>
  <c r="AE21" i="6"/>
  <c r="AK24" i="6"/>
  <c r="AA24" i="6"/>
  <c r="AP24" i="6"/>
  <c r="AO41" i="6"/>
  <c r="AE41" i="6"/>
  <c r="AT41" i="6"/>
  <c r="AO43" i="6"/>
  <c r="AE43" i="6"/>
  <c r="AT43" i="6"/>
  <c r="AE45" i="6"/>
  <c r="AT45" i="6"/>
  <c r="AO45" i="6"/>
  <c r="AC47" i="6"/>
  <c r="AR47" i="6"/>
  <c r="AM47" i="6"/>
  <c r="AP54" i="6"/>
  <c r="AK54" i="6"/>
  <c r="AA54" i="6"/>
  <c r="AM63" i="6"/>
  <c r="AR63" i="6"/>
  <c r="AC63" i="6"/>
  <c r="AK59" i="6"/>
  <c r="AA59" i="6"/>
  <c r="AP59" i="6"/>
  <c r="AM61" i="6"/>
  <c r="AR61" i="6"/>
  <c r="AC61" i="6"/>
  <c r="AS63" i="6"/>
  <c r="AD63" i="6"/>
  <c r="AN63" i="6"/>
  <c r="AP68" i="6"/>
  <c r="AA68" i="6"/>
  <c r="AK68" i="6"/>
  <c r="AR70" i="6"/>
  <c r="AM70" i="6"/>
  <c r="AC70" i="6"/>
  <c r="AD71" i="6"/>
  <c r="AN71" i="6"/>
  <c r="AS71" i="6"/>
  <c r="AK78" i="6"/>
  <c r="AP78" i="6"/>
  <c r="AA78" i="6"/>
  <c r="AE81" i="6"/>
  <c r="AO81" i="6"/>
  <c r="AT81" i="6"/>
  <c r="AK84" i="6"/>
  <c r="AP84" i="6"/>
  <c r="AA84" i="6"/>
  <c r="AE85" i="6"/>
  <c r="AO85" i="6"/>
  <c r="AT85" i="6"/>
  <c r="AO86" i="6"/>
  <c r="AT86" i="6"/>
  <c r="AE86" i="6"/>
  <c r="AC88" i="6"/>
  <c r="AR88" i="6"/>
  <c r="AM88" i="6"/>
  <c r="AL90" i="6"/>
  <c r="AQ90" i="6"/>
  <c r="AB90" i="6"/>
  <c r="AT97" i="6"/>
  <c r="AO97" i="6"/>
  <c r="AE97" i="6"/>
  <c r="AL99" i="6"/>
  <c r="AQ99" i="6"/>
  <c r="AB99" i="6"/>
  <c r="AK99" i="6"/>
  <c r="AP99" i="6"/>
  <c r="AA99" i="6"/>
  <c r="AP101" i="6"/>
  <c r="AK101" i="6"/>
  <c r="AA101" i="6"/>
  <c r="AC105" i="6"/>
  <c r="AM105" i="6"/>
  <c r="AR105" i="6"/>
  <c r="AP106" i="6"/>
  <c r="AK106" i="6"/>
  <c r="AA106" i="6"/>
  <c r="AP107" i="6"/>
  <c r="AK107" i="6"/>
  <c r="AA107" i="6"/>
  <c r="N10" i="3"/>
  <c r="B37" i="7"/>
  <c r="AQ9" i="6"/>
  <c r="AB9" i="6"/>
  <c r="AL9" i="6"/>
  <c r="AE18" i="6"/>
  <c r="AO18" i="6"/>
  <c r="AT18" i="6"/>
  <c r="AQ19" i="6"/>
  <c r="AB19" i="6"/>
  <c r="AL19" i="6"/>
  <c r="AE20" i="6"/>
  <c r="AO20" i="6"/>
  <c r="AT20" i="6"/>
  <c r="AN33" i="6"/>
  <c r="AS33" i="6"/>
  <c r="AD33" i="6"/>
  <c r="AP39" i="6"/>
  <c r="AK39" i="6"/>
  <c r="AA39" i="6"/>
  <c r="AR40" i="6"/>
  <c r="AC40" i="6"/>
  <c r="AM40" i="6"/>
  <c r="AL47" i="6"/>
  <c r="AB47" i="6"/>
  <c r="AQ47" i="6"/>
  <c r="AK47" i="6"/>
  <c r="AP47" i="6"/>
  <c r="AA47" i="6"/>
  <c r="AT50" i="6"/>
  <c r="AO50" i="6"/>
  <c r="AE50" i="6"/>
  <c r="AC56" i="6"/>
  <c r="AR56" i="6"/>
  <c r="AM56" i="6"/>
  <c r="AA58" i="6"/>
  <c r="AP58" i="6"/>
  <c r="AK58" i="6"/>
  <c r="AD61" i="6"/>
  <c r="AS61" i="6"/>
  <c r="AN61" i="6"/>
  <c r="AA65" i="6"/>
  <c r="AP65" i="6"/>
  <c r="AK65" i="6"/>
  <c r="AP69" i="6"/>
  <c r="AK69" i="6"/>
  <c r="AA69" i="6"/>
  <c r="AD72" i="6"/>
  <c r="AS72" i="6"/>
  <c r="AN72" i="6"/>
  <c r="AR74" i="6"/>
  <c r="AM74" i="6"/>
  <c r="AC74" i="6"/>
  <c r="AL75" i="6"/>
  <c r="AB75" i="6"/>
  <c r="AQ75" i="6"/>
  <c r="AO78" i="6"/>
  <c r="AT78" i="6"/>
  <c r="AE78" i="6"/>
  <c r="AD88" i="6"/>
  <c r="AS88" i="6"/>
  <c r="AN88" i="6"/>
  <c r="AE96" i="6"/>
  <c r="AT96" i="6"/>
  <c r="AO96" i="6"/>
  <c r="AC99" i="6"/>
  <c r="AM99" i="6"/>
  <c r="AR99" i="6"/>
  <c r="AD100" i="6"/>
  <c r="N14" i="3"/>
  <c r="AS100" i="6"/>
  <c r="AN100" i="6"/>
  <c r="AC103" i="6"/>
  <c r="AM103" i="6"/>
  <c r="AR103" i="6"/>
  <c r="AP104" i="6"/>
  <c r="AK104" i="6"/>
  <c r="AA104" i="6"/>
  <c r="AB107" i="6"/>
  <c r="AQ107" i="6"/>
  <c r="AL107" i="6"/>
  <c r="B45" i="7"/>
  <c r="B43" i="7"/>
  <c r="B41" i="7"/>
  <c r="B39" i="7"/>
  <c r="B47" i="7"/>
  <c r="B46" i="7"/>
  <c r="B44" i="7"/>
  <c r="B42" i="7"/>
  <c r="B40" i="7"/>
  <c r="B38" i="7"/>
  <c r="B59" i="7"/>
  <c r="B60" i="7"/>
  <c r="B56" i="7"/>
  <c r="B58" i="7"/>
  <c r="B49" i="7"/>
  <c r="B53" i="7"/>
  <c r="B48" i="7"/>
  <c r="B52" i="7"/>
  <c r="B57" i="7"/>
  <c r="B54" i="7"/>
  <c r="B51" i="7"/>
  <c r="B55" i="7"/>
  <c r="B50" i="7"/>
  <c r="B64" i="7"/>
  <c r="B61" i="7"/>
  <c r="B63" i="7"/>
  <c r="B62" i="7"/>
  <c r="B69" i="7"/>
  <c r="B70" i="7"/>
  <c r="B71" i="7"/>
  <c r="B68" i="7"/>
  <c r="B66" i="7"/>
  <c r="B65" i="7"/>
  <c r="B67" i="7"/>
  <c r="B77" i="7"/>
  <c r="B78" i="7"/>
  <c r="B79" i="7"/>
  <c r="B80" i="7"/>
  <c r="B81" i="7"/>
  <c r="B82" i="7"/>
  <c r="B83" i="7"/>
  <c r="B76" i="7"/>
  <c r="B74" i="7"/>
  <c r="B75" i="7"/>
  <c r="B72" i="7"/>
  <c r="B73" i="7"/>
  <c r="B85" i="7"/>
  <c r="C84" i="7"/>
  <c r="B94" i="7"/>
  <c r="B95" i="7"/>
  <c r="B96" i="7"/>
  <c r="B97" i="7"/>
  <c r="B98" i="7"/>
  <c r="B99" i="7"/>
  <c r="B100" i="7"/>
  <c r="B101" i="7"/>
  <c r="B102" i="7"/>
  <c r="B104" i="7"/>
  <c r="B86" i="7"/>
  <c r="B91" i="7"/>
  <c r="B88" i="7"/>
  <c r="B89" i="7"/>
  <c r="B87" i="7"/>
  <c r="B90" i="7"/>
  <c r="B92" i="7"/>
  <c r="B93" i="7"/>
  <c r="C103" i="7"/>
  <c r="B105" i="7"/>
  <c r="B106" i="7"/>
  <c r="B107" i="7"/>
  <c r="B108" i="7"/>
  <c r="B109" i="7"/>
  <c r="B110" i="7"/>
  <c r="B111" i="7"/>
  <c r="B113" i="7"/>
  <c r="C112" i="7"/>
  <c r="B114" i="7"/>
  <c r="B115" i="7"/>
  <c r="B116" i="7"/>
  <c r="C117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C118" i="7"/>
  <c r="H23" i="7" l="1"/>
  <c r="G55" i="3"/>
  <c r="I95" i="7"/>
  <c r="I83" i="7"/>
  <c r="G53" i="3"/>
  <c r="I69" i="7"/>
  <c r="I47" i="7"/>
  <c r="G30" i="3"/>
  <c r="G24" i="3"/>
  <c r="G81" i="3"/>
  <c r="I21" i="7"/>
  <c r="I70" i="7"/>
  <c r="G106" i="3"/>
  <c r="I79" i="7"/>
  <c r="G117" i="3"/>
  <c r="G65" i="7"/>
  <c r="G115" i="3"/>
  <c r="I24" i="7"/>
  <c r="G75" i="3"/>
  <c r="I77" i="7"/>
  <c r="F9" i="7"/>
  <c r="G77" i="3"/>
  <c r="I25" i="7"/>
  <c r="I80" i="7"/>
  <c r="G102" i="3"/>
  <c r="I115" i="7"/>
  <c r="H109" i="7"/>
  <c r="G116" i="3"/>
  <c r="G50" i="3"/>
  <c r="F12" i="7"/>
  <c r="G85" i="3"/>
  <c r="G110" i="3"/>
  <c r="G88" i="3"/>
  <c r="G59" i="3"/>
  <c r="I100" i="7"/>
  <c r="H113" i="7"/>
  <c r="I113" i="7" s="1"/>
  <c r="G57" i="3"/>
  <c r="G104" i="3"/>
  <c r="G33" i="3"/>
  <c r="F20" i="3"/>
  <c r="G20" i="3" s="1"/>
  <c r="G74" i="3"/>
  <c r="G101" i="3"/>
  <c r="I108" i="7"/>
  <c r="G67" i="3"/>
  <c r="H102" i="7"/>
  <c r="I102" i="7" s="1"/>
  <c r="G61" i="3"/>
  <c r="G83" i="3"/>
  <c r="G31" i="3"/>
  <c r="H26" i="7"/>
  <c r="I105" i="7"/>
  <c r="G71" i="3"/>
  <c r="G66" i="7"/>
  <c r="G84" i="3"/>
  <c r="G103" i="3"/>
  <c r="I106" i="7"/>
  <c r="I116" i="7"/>
  <c r="F98" i="3"/>
  <c r="G25" i="3"/>
  <c r="I81" i="7"/>
  <c r="G95" i="3"/>
  <c r="G60" i="3"/>
  <c r="I94" i="7"/>
  <c r="I104" i="7"/>
  <c r="G58" i="3"/>
  <c r="I27" i="7"/>
  <c r="F10" i="7"/>
  <c r="G89" i="3"/>
  <c r="I82" i="7"/>
  <c r="I110" i="7"/>
  <c r="G62" i="3"/>
  <c r="I97" i="7"/>
  <c r="G32" i="3"/>
  <c r="G67" i="7"/>
  <c r="G56" i="3"/>
  <c r="I111" i="7"/>
  <c r="I98" i="7"/>
  <c r="G54" i="3"/>
  <c r="I59" i="7"/>
  <c r="I36" i="7"/>
  <c r="H64" i="7"/>
  <c r="F120" i="3"/>
  <c r="I60" i="7"/>
  <c r="G70" i="3"/>
  <c r="G82" i="3"/>
  <c r="G52" i="3"/>
  <c r="G51" i="3"/>
  <c r="G79" i="3"/>
  <c r="G114" i="3"/>
  <c r="F11" i="7"/>
  <c r="I133" i="7"/>
  <c r="G92" i="3"/>
  <c r="G69" i="3"/>
  <c r="G90" i="3"/>
  <c r="I107" i="7"/>
  <c r="G68" i="3"/>
  <c r="I99" i="7"/>
  <c r="G94" i="3"/>
  <c r="I78" i="7"/>
  <c r="G113" i="3"/>
  <c r="G93" i="3"/>
  <c r="G86" i="3"/>
  <c r="I71" i="7"/>
  <c r="I22" i="7"/>
  <c r="G63" i="3"/>
  <c r="E11" i="8"/>
  <c r="F11" i="8" s="1"/>
  <c r="G11" i="8" s="1"/>
  <c r="H11" i="8" s="1"/>
  <c r="I11" i="8" s="1"/>
  <c r="J11" i="8" s="1"/>
  <c r="K11" i="8" s="1"/>
  <c r="L11" i="8" s="1"/>
  <c r="M11" i="8" s="1"/>
  <c r="N11" i="8" s="1"/>
  <c r="O11" i="8" s="1"/>
  <c r="P11" i="8" s="1"/>
  <c r="Q11" i="8" s="1"/>
  <c r="R11" i="8" s="1"/>
  <c r="S11" i="8" s="1"/>
  <c r="T11" i="8" s="1"/>
  <c r="U11" i="8" s="1"/>
  <c r="V11" i="8" s="1"/>
  <c r="W11" i="8" s="1"/>
  <c r="X11" i="8" s="1"/>
  <c r="Y11" i="8" s="1"/>
  <c r="Z11" i="8" s="1"/>
  <c r="AA11" i="8" s="1"/>
  <c r="AB11" i="8" s="1"/>
  <c r="AC11" i="8" s="1"/>
  <c r="AD11" i="8" s="1"/>
  <c r="AE11" i="8" s="1"/>
  <c r="AF11" i="8" s="1"/>
  <c r="AG11" i="8" s="1"/>
  <c r="AH11" i="8" s="1"/>
  <c r="I34" i="7"/>
  <c r="I101" i="7"/>
  <c r="G68" i="7"/>
  <c r="G76" i="3"/>
  <c r="G91" i="3"/>
  <c r="G80" i="3"/>
  <c r="G66" i="3"/>
  <c r="G78" i="3"/>
  <c r="I37" i="7"/>
  <c r="G107" i="3"/>
  <c r="G87" i="3"/>
  <c r="G105" i="3"/>
  <c r="G23" i="3"/>
  <c r="G27" i="3"/>
  <c r="G34" i="3"/>
  <c r="E42" i="3"/>
  <c r="F44" i="3"/>
  <c r="G44" i="3"/>
  <c r="H42" i="3"/>
  <c r="N13" i="3"/>
  <c r="J42" i="3"/>
  <c r="G42" i="3"/>
  <c r="I42" i="3"/>
  <c r="H44" i="3"/>
  <c r="J20" i="3"/>
  <c r="E10" i="8" s="1"/>
  <c r="F10" i="8" s="1"/>
  <c r="K42" i="8"/>
  <c r="N29" i="8"/>
  <c r="V29" i="8"/>
  <c r="AG29" i="8"/>
  <c r="G29" i="8"/>
  <c r="O29" i="8"/>
  <c r="W29" i="8"/>
  <c r="AE29" i="8"/>
  <c r="F29" i="8"/>
  <c r="M29" i="8"/>
  <c r="U29" i="8"/>
  <c r="L29" i="8"/>
  <c r="T29" i="8"/>
  <c r="I29" i="8"/>
  <c r="AA29" i="8"/>
  <c r="Q29" i="8"/>
  <c r="S29" i="8"/>
  <c r="Z29" i="8"/>
  <c r="E29" i="8"/>
  <c r="J29" i="8"/>
  <c r="R29" i="8"/>
  <c r="AH29" i="8"/>
  <c r="Y29" i="8"/>
  <c r="H29" i="8"/>
  <c r="P29" i="8"/>
  <c r="X29" i="8"/>
  <c r="AF29" i="8"/>
  <c r="AC29" i="8"/>
  <c r="AB29" i="8"/>
  <c r="AD29" i="8"/>
  <c r="H85" i="7"/>
  <c r="I109" i="7" l="1"/>
  <c r="H112" i="7"/>
  <c r="I112" i="7" s="1"/>
  <c r="J64" i="7"/>
  <c r="H84" i="7"/>
  <c r="I84" i="7" s="1"/>
  <c r="I64" i="7"/>
  <c r="G120" i="3"/>
  <c r="E19" i="8"/>
  <c r="F19" i="8" s="1"/>
  <c r="G19" i="8" s="1"/>
  <c r="H19" i="8" s="1"/>
  <c r="I19" i="8" s="1"/>
  <c r="J19" i="8" s="1"/>
  <c r="K19" i="8" s="1"/>
  <c r="L19" i="8" s="1"/>
  <c r="M19" i="8" s="1"/>
  <c r="N19" i="8" s="1"/>
  <c r="O19" i="8" s="1"/>
  <c r="P19" i="8" s="1"/>
  <c r="Q19" i="8" s="1"/>
  <c r="R19" i="8" s="1"/>
  <c r="S19" i="8" s="1"/>
  <c r="T19" i="8" s="1"/>
  <c r="U19" i="8" s="1"/>
  <c r="V19" i="8" s="1"/>
  <c r="W19" i="8" s="1"/>
  <c r="X19" i="8" s="1"/>
  <c r="Y19" i="8" s="1"/>
  <c r="Z19" i="8" s="1"/>
  <c r="AA19" i="8" s="1"/>
  <c r="AB19" i="8" s="1"/>
  <c r="AC19" i="8" s="1"/>
  <c r="AD19" i="8" s="1"/>
  <c r="AE19" i="8" s="1"/>
  <c r="AF19" i="8" s="1"/>
  <c r="AG19" i="8" s="1"/>
  <c r="AH19" i="8" s="1"/>
  <c r="F122" i="3"/>
  <c r="H120" i="3"/>
  <c r="G98" i="3"/>
  <c r="F108" i="3"/>
  <c r="H98" i="3"/>
  <c r="I26" i="7"/>
  <c r="L26" i="7"/>
  <c r="J26" i="7"/>
  <c r="J23" i="7"/>
  <c r="H28" i="7"/>
  <c r="I23" i="7"/>
  <c r="E12" i="8"/>
  <c r="F12" i="8"/>
  <c r="G10" i="8"/>
  <c r="AB42" i="8"/>
  <c r="P42" i="8"/>
  <c r="R42" i="8"/>
  <c r="S42" i="8"/>
  <c r="T42" i="8"/>
  <c r="F42" i="8"/>
  <c r="AC42" i="8"/>
  <c r="H42" i="8"/>
  <c r="J42" i="8"/>
  <c r="Q42" i="8"/>
  <c r="L42" i="8"/>
  <c r="AE42" i="8"/>
  <c r="AG42" i="8"/>
  <c r="AF42" i="8"/>
  <c r="Y42" i="8"/>
  <c r="E42" i="8"/>
  <c r="AA42" i="8"/>
  <c r="U42" i="8"/>
  <c r="W42" i="8"/>
  <c r="V42" i="8"/>
  <c r="AD42" i="8"/>
  <c r="X42" i="8"/>
  <c r="AH42" i="8"/>
  <c r="Z42" i="8"/>
  <c r="I42" i="8"/>
  <c r="M42" i="8"/>
  <c r="O42" i="8"/>
  <c r="N42" i="8"/>
  <c r="G42" i="8"/>
  <c r="J85" i="7"/>
  <c r="I85" i="7"/>
  <c r="H30" i="7" l="1"/>
  <c r="I28" i="7"/>
  <c r="J28" i="7"/>
  <c r="H108" i="3"/>
  <c r="G108" i="3"/>
  <c r="H29" i="7"/>
  <c r="H122" i="3"/>
  <c r="F124" i="3"/>
  <c r="O114" i="7"/>
  <c r="G122" i="3"/>
  <c r="E14" i="8"/>
  <c r="E15" i="8" s="1"/>
  <c r="E20" i="8" s="1"/>
  <c r="H10" i="8"/>
  <c r="G12" i="8"/>
  <c r="F14" i="8"/>
  <c r="F15" i="8" s="1"/>
  <c r="F20" i="8" s="1"/>
  <c r="H124" i="3" l="1"/>
  <c r="G124" i="3"/>
  <c r="I30" i="7"/>
  <c r="J30" i="7"/>
  <c r="H31" i="7"/>
  <c r="H32" i="7" s="1"/>
  <c r="I29" i="7"/>
  <c r="J29" i="7"/>
  <c r="E22" i="8"/>
  <c r="E38" i="8"/>
  <c r="E25" i="8"/>
  <c r="E41" i="8" s="1"/>
  <c r="E43" i="8" s="1"/>
  <c r="E21" i="8"/>
  <c r="G14" i="8"/>
  <c r="G15" i="8" s="1"/>
  <c r="G20" i="8" s="1"/>
  <c r="I10" i="8"/>
  <c r="H12" i="8"/>
  <c r="F21" i="8"/>
  <c r="F25" i="8"/>
  <c r="F41" i="8" s="1"/>
  <c r="F43" i="8" s="1"/>
  <c r="F22" i="8"/>
  <c r="F38" i="8"/>
  <c r="J31" i="7" l="1"/>
  <c r="I31" i="7"/>
  <c r="H33" i="7"/>
  <c r="I32" i="7"/>
  <c r="J32" i="7"/>
  <c r="E44" i="8"/>
  <c r="E30" i="8" s="1"/>
  <c r="E45" i="8"/>
  <c r="E32" i="8" s="1"/>
  <c r="H14" i="8"/>
  <c r="H15" i="8" s="1"/>
  <c r="H20" i="8" s="1"/>
  <c r="I12" i="8"/>
  <c r="J10" i="8"/>
  <c r="F45" i="8"/>
  <c r="F44" i="8"/>
  <c r="G21" i="8"/>
  <c r="G22" i="8"/>
  <c r="G25" i="8"/>
  <c r="G41" i="8" s="1"/>
  <c r="G43" i="8" s="1"/>
  <c r="G38" i="8"/>
  <c r="J118" i="7" l="1"/>
  <c r="J123" i="7" s="1"/>
  <c r="J125" i="7" s="1"/>
  <c r="J129" i="7" s="1"/>
  <c r="I33" i="7"/>
  <c r="J33" i="7"/>
  <c r="H35" i="7"/>
  <c r="I35" i="7" s="1"/>
  <c r="E34" i="8"/>
  <c r="E39" i="8" s="1"/>
  <c r="G45" i="8"/>
  <c r="G32" i="8" s="1"/>
  <c r="G44" i="8"/>
  <c r="G30" i="8" s="1"/>
  <c r="F32" i="8"/>
  <c r="H25" i="8"/>
  <c r="H41" i="8" s="1"/>
  <c r="H43" i="8" s="1"/>
  <c r="H21" i="8"/>
  <c r="H22" i="8"/>
  <c r="H38" i="8"/>
  <c r="K10" i="8"/>
  <c r="J12" i="8"/>
  <c r="I14" i="8"/>
  <c r="I15" i="8" s="1"/>
  <c r="I20" i="8" s="1"/>
  <c r="F30" i="8"/>
  <c r="J131" i="7" l="1"/>
  <c r="K132" i="7" s="1"/>
  <c r="H96" i="7"/>
  <c r="E36" i="8"/>
  <c r="O115" i="7"/>
  <c r="O116" i="7" s="1"/>
  <c r="H114" i="7" s="1"/>
  <c r="I114" i="7" s="1"/>
  <c r="F34" i="8"/>
  <c r="F36" i="8" s="1"/>
  <c r="I25" i="8"/>
  <c r="I41" i="8" s="1"/>
  <c r="I43" i="8" s="1"/>
  <c r="I22" i="8"/>
  <c r="I21" i="8"/>
  <c r="I38" i="8"/>
  <c r="H45" i="8"/>
  <c r="H32" i="8" s="1"/>
  <c r="H44" i="8"/>
  <c r="J14" i="8"/>
  <c r="J15" i="8" s="1"/>
  <c r="J20" i="8" s="1"/>
  <c r="K12" i="8"/>
  <c r="L10" i="8"/>
  <c r="G34" i="8"/>
  <c r="F39" i="8" l="1"/>
  <c r="I96" i="7"/>
  <c r="H103" i="7"/>
  <c r="I103" i="7" s="1"/>
  <c r="K136" i="7"/>
  <c r="K137" i="7" s="1"/>
  <c r="E14" i="7"/>
  <c r="F14" i="7" s="1"/>
  <c r="H117" i="7"/>
  <c r="I117" i="7" s="1"/>
  <c r="J22" i="8"/>
  <c r="J25" i="8"/>
  <c r="J41" i="8" s="1"/>
  <c r="J43" i="8" s="1"/>
  <c r="J21" i="8"/>
  <c r="J38" i="8"/>
  <c r="G39" i="8"/>
  <c r="G36" i="8"/>
  <c r="H30" i="8"/>
  <c r="H34" i="8" s="1"/>
  <c r="L12" i="8"/>
  <c r="M10" i="8"/>
  <c r="K14" i="8"/>
  <c r="K15" i="8" s="1"/>
  <c r="K20" i="8" s="1"/>
  <c r="I45" i="8"/>
  <c r="I44" i="8"/>
  <c r="I30" i="8" s="1"/>
  <c r="H118" i="7" l="1"/>
  <c r="H134" i="7" s="1"/>
  <c r="I134" i="7" s="1"/>
  <c r="K25" i="8"/>
  <c r="K41" i="8" s="1"/>
  <c r="K43" i="8" s="1"/>
  <c r="K22" i="8"/>
  <c r="K21" i="8"/>
  <c r="K38" i="8"/>
  <c r="H39" i="8"/>
  <c r="H36" i="8"/>
  <c r="M12" i="8"/>
  <c r="N10" i="8"/>
  <c r="I32" i="8"/>
  <c r="I34" i="8" s="1"/>
  <c r="L14" i="8"/>
  <c r="L15" i="8"/>
  <c r="L20" i="8" s="1"/>
  <c r="J44" i="8"/>
  <c r="J30" i="8" s="1"/>
  <c r="J45" i="8"/>
  <c r="J32" i="8" s="1"/>
  <c r="E15" i="7" l="1"/>
  <c r="G9" i="7" s="1"/>
  <c r="I118" i="7"/>
  <c r="J34" i="8"/>
  <c r="J36" i="8" s="1"/>
  <c r="I39" i="8"/>
  <c r="I36" i="8"/>
  <c r="K45" i="8"/>
  <c r="K44" i="8"/>
  <c r="K30" i="8" s="1"/>
  <c r="L22" i="8"/>
  <c r="L25" i="8"/>
  <c r="L41" i="8" s="1"/>
  <c r="L43" i="8" s="1"/>
  <c r="L21" i="8"/>
  <c r="L38" i="8"/>
  <c r="N12" i="8"/>
  <c r="O10" i="8"/>
  <c r="M14" i="8"/>
  <c r="M15" i="8" s="1"/>
  <c r="M20" i="8" s="1"/>
  <c r="G10" i="7" l="1"/>
  <c r="E13" i="7"/>
  <c r="G13" i="7" s="1"/>
  <c r="G14" i="7"/>
  <c r="G11" i="7"/>
  <c r="G12" i="7"/>
  <c r="J39" i="8"/>
  <c r="M25" i="8"/>
  <c r="M41" i="8" s="1"/>
  <c r="M43" i="8" s="1"/>
  <c r="M21" i="8"/>
  <c r="M22" i="8"/>
  <c r="M38" i="8"/>
  <c r="O12" i="8"/>
  <c r="P10" i="8"/>
  <c r="N14" i="8"/>
  <c r="N15" i="8" s="1"/>
  <c r="N20" i="8" s="1"/>
  <c r="L44" i="8"/>
  <c r="L45" i="8"/>
  <c r="L32" i="8" s="1"/>
  <c r="K32" i="8"/>
  <c r="K34" i="8" s="1"/>
  <c r="F13" i="7" l="1"/>
  <c r="F15" i="7" s="1"/>
  <c r="E48" i="8"/>
  <c r="E49" i="8" s="1"/>
  <c r="E50" i="8" s="1"/>
  <c r="F48" i="8" s="1"/>
  <c r="F49" i="8" s="1"/>
  <c r="F50" i="8" s="1"/>
  <c r="G48" i="8" s="1"/>
  <c r="G49" i="8" s="1"/>
  <c r="G50" i="8" s="1"/>
  <c r="H48" i="8" s="1"/>
  <c r="H49" i="8" s="1"/>
  <c r="H50" i="8" s="1"/>
  <c r="I48" i="8" s="1"/>
  <c r="I49" i="8" s="1"/>
  <c r="I50" i="8" s="1"/>
  <c r="J48" i="8" s="1"/>
  <c r="J49" i="8" s="1"/>
  <c r="J50" i="8" s="1"/>
  <c r="K48" i="8" s="1"/>
  <c r="G15" i="7"/>
  <c r="N25" i="8"/>
  <c r="N41" i="8" s="1"/>
  <c r="N43" i="8" s="1"/>
  <c r="N21" i="8"/>
  <c r="N22" i="8"/>
  <c r="N38" i="8"/>
  <c r="L30" i="8"/>
  <c r="L34" i="8" s="1"/>
  <c r="Q10" i="8"/>
  <c r="P12" i="8"/>
  <c r="K36" i="8"/>
  <c r="K39" i="8"/>
  <c r="O14" i="8"/>
  <c r="O15" i="8"/>
  <c r="O20" i="8" s="1"/>
  <c r="M44" i="8"/>
  <c r="M30" i="8" s="1"/>
  <c r="M45" i="8"/>
  <c r="M32" i="8" s="1"/>
  <c r="K49" i="8" l="1"/>
  <c r="K50" i="8" s="1"/>
  <c r="L48" i="8" s="1"/>
  <c r="M34" i="8"/>
  <c r="M36" i="8" s="1"/>
  <c r="O25" i="8"/>
  <c r="O41" i="8" s="1"/>
  <c r="O43" i="8" s="1"/>
  <c r="O21" i="8"/>
  <c r="O22" i="8"/>
  <c r="O38" i="8"/>
  <c r="L36" i="8"/>
  <c r="L39" i="8"/>
  <c r="P14" i="8"/>
  <c r="P15" i="8" s="1"/>
  <c r="P20" i="8" s="1"/>
  <c r="R10" i="8"/>
  <c r="Q12" i="8"/>
  <c r="N45" i="8"/>
  <c r="N32" i="8" s="1"/>
  <c r="N44" i="8"/>
  <c r="N30" i="8" s="1"/>
  <c r="L49" i="8" l="1"/>
  <c r="L50" i="8" s="1"/>
  <c r="M48" i="8" s="1"/>
  <c r="M49" i="8" s="1"/>
  <c r="M50" i="8" s="1"/>
  <c r="N48" i="8" s="1"/>
  <c r="M39" i="8"/>
  <c r="N34" i="8"/>
  <c r="N36" i="8" s="1"/>
  <c r="P22" i="8"/>
  <c r="P25" i="8"/>
  <c r="P41" i="8" s="1"/>
  <c r="P43" i="8" s="1"/>
  <c r="P21" i="8"/>
  <c r="P38" i="8"/>
  <c r="N39" i="8"/>
  <c r="O45" i="8"/>
  <c r="O32" i="8" s="1"/>
  <c r="O44" i="8"/>
  <c r="O30" i="8" s="1"/>
  <c r="Q14" i="8"/>
  <c r="Q15" i="8" s="1"/>
  <c r="Q20" i="8" s="1"/>
  <c r="S10" i="8"/>
  <c r="R12" i="8"/>
  <c r="N49" i="8" l="1"/>
  <c r="N50" i="8" s="1"/>
  <c r="O48" i="8" s="1"/>
  <c r="Q22" i="8"/>
  <c r="Q25" i="8"/>
  <c r="Q41" i="8" s="1"/>
  <c r="Q43" i="8" s="1"/>
  <c r="Q21" i="8"/>
  <c r="Q38" i="8"/>
  <c r="P45" i="8"/>
  <c r="P32" i="8" s="1"/>
  <c r="P44" i="8"/>
  <c r="P30" i="8" s="1"/>
  <c r="R14" i="8"/>
  <c r="R15" i="8" s="1"/>
  <c r="R20" i="8" s="1"/>
  <c r="O34" i="8"/>
  <c r="S12" i="8"/>
  <c r="T10" i="8"/>
  <c r="P34" i="8" l="1"/>
  <c r="P36" i="8" s="1"/>
  <c r="T12" i="8"/>
  <c r="U10" i="8"/>
  <c r="R25" i="8"/>
  <c r="R41" i="8" s="1"/>
  <c r="R43" i="8" s="1"/>
  <c r="R21" i="8"/>
  <c r="R22" i="8"/>
  <c r="R38" i="8"/>
  <c r="Q44" i="8"/>
  <c r="Q30" i="8" s="1"/>
  <c r="Q45" i="8"/>
  <c r="Q32" i="8" s="1"/>
  <c r="S14" i="8"/>
  <c r="S15" i="8" s="1"/>
  <c r="S20" i="8" s="1"/>
  <c r="O36" i="8"/>
  <c r="O49" i="8" s="1"/>
  <c r="O50" i="8" s="1"/>
  <c r="P48" i="8" s="1"/>
  <c r="O39" i="8"/>
  <c r="P39" i="8" l="1"/>
  <c r="U12" i="8"/>
  <c r="V10" i="8"/>
  <c r="S25" i="8"/>
  <c r="S41" i="8" s="1"/>
  <c r="S43" i="8" s="1"/>
  <c r="S21" i="8"/>
  <c r="S22" i="8"/>
  <c r="S38" i="8"/>
  <c r="P49" i="8"/>
  <c r="P50" i="8" s="1"/>
  <c r="Q48" i="8" s="1"/>
  <c r="R45" i="8"/>
  <c r="R32" i="8" s="1"/>
  <c r="R44" i="8"/>
  <c r="R30" i="8" s="1"/>
  <c r="Q34" i="8"/>
  <c r="T14" i="8"/>
  <c r="T15" i="8" s="1"/>
  <c r="T20" i="8" s="1"/>
  <c r="T25" i="8" l="1"/>
  <c r="T41" i="8" s="1"/>
  <c r="T43" i="8" s="1"/>
  <c r="T21" i="8"/>
  <c r="T22" i="8"/>
  <c r="T38" i="8"/>
  <c r="V12" i="8"/>
  <c r="W10" i="8"/>
  <c r="U14" i="8"/>
  <c r="U15" i="8" s="1"/>
  <c r="U20" i="8" s="1"/>
  <c r="Q36" i="8"/>
  <c r="Q49" i="8" s="1"/>
  <c r="Q50" i="8" s="1"/>
  <c r="R48" i="8" s="1"/>
  <c r="Q39" i="8"/>
  <c r="R34" i="8"/>
  <c r="S45" i="8"/>
  <c r="S32" i="8" s="1"/>
  <c r="S44" i="8"/>
  <c r="S30" i="8" s="1"/>
  <c r="U21" i="8" l="1"/>
  <c r="U22" i="8"/>
  <c r="U25" i="8"/>
  <c r="U41" i="8" s="1"/>
  <c r="U43" i="8" s="1"/>
  <c r="U38" i="8"/>
  <c r="R36" i="8"/>
  <c r="R49" i="8" s="1"/>
  <c r="R50" i="8" s="1"/>
  <c r="S48" i="8" s="1"/>
  <c r="R39" i="8"/>
  <c r="T45" i="8"/>
  <c r="T32" i="8" s="1"/>
  <c r="T44" i="8"/>
  <c r="T30" i="8" s="1"/>
  <c r="T34" i="8" s="1"/>
  <c r="X10" i="8"/>
  <c r="W12" i="8"/>
  <c r="S34" i="8"/>
  <c r="V14" i="8"/>
  <c r="V15" i="8" s="1"/>
  <c r="V20" i="8" s="1"/>
  <c r="V25" i="8" l="1"/>
  <c r="V41" i="8" s="1"/>
  <c r="V43" i="8" s="1"/>
  <c r="V21" i="8"/>
  <c r="V22" i="8"/>
  <c r="V38" i="8"/>
  <c r="T39" i="8"/>
  <c r="T36" i="8"/>
  <c r="S36" i="8"/>
  <c r="S49" i="8" s="1"/>
  <c r="S50" i="8" s="1"/>
  <c r="T48" i="8" s="1"/>
  <c r="S39" i="8"/>
  <c r="W14" i="8"/>
  <c r="W15" i="8" s="1"/>
  <c r="W20" i="8" s="1"/>
  <c r="X12" i="8"/>
  <c r="Y10" i="8"/>
  <c r="U45" i="8"/>
  <c r="U32" i="8" s="1"/>
  <c r="U44" i="8"/>
  <c r="U30" i="8" s="1"/>
  <c r="U34" i="8" s="1"/>
  <c r="W22" i="8" l="1"/>
  <c r="W21" i="8"/>
  <c r="W25" i="8"/>
  <c r="W41" i="8" s="1"/>
  <c r="W43" i="8" s="1"/>
  <c r="W38" i="8"/>
  <c r="X14" i="8"/>
  <c r="X15" i="8" s="1"/>
  <c r="X20" i="8" s="1"/>
  <c r="V45" i="8"/>
  <c r="V32" i="8" s="1"/>
  <c r="V44" i="8"/>
  <c r="V30" i="8" s="1"/>
  <c r="U36" i="8"/>
  <c r="U39" i="8"/>
  <c r="T49" i="8"/>
  <c r="T50" i="8" s="1"/>
  <c r="U48" i="8" s="1"/>
  <c r="Y12" i="8"/>
  <c r="Z10" i="8"/>
  <c r="X21" i="8" l="1"/>
  <c r="X22" i="8"/>
  <c r="X25" i="8"/>
  <c r="X41" i="8" s="1"/>
  <c r="X43" i="8" s="1"/>
  <c r="X38" i="8"/>
  <c r="AA10" i="8"/>
  <c r="Z12" i="8"/>
  <c r="U49" i="8"/>
  <c r="U50" i="8" s="1"/>
  <c r="V48" i="8" s="1"/>
  <c r="W45" i="8"/>
  <c r="W32" i="8" s="1"/>
  <c r="W44" i="8"/>
  <c r="W30" i="8" s="1"/>
  <c r="W34" i="8" s="1"/>
  <c r="Y14" i="8"/>
  <c r="Y15" i="8" s="1"/>
  <c r="Y20" i="8" s="1"/>
  <c r="V34" i="8"/>
  <c r="Y21" i="8" l="1"/>
  <c r="Y22" i="8"/>
  <c r="Y25" i="8"/>
  <c r="Y41" i="8" s="1"/>
  <c r="Y43" i="8" s="1"/>
  <c r="Y38" i="8"/>
  <c r="Z14" i="8"/>
  <c r="Z15" i="8" s="1"/>
  <c r="Z20" i="8" s="1"/>
  <c r="W39" i="8"/>
  <c r="W36" i="8"/>
  <c r="AB10" i="8"/>
  <c r="AA12" i="8"/>
  <c r="X44" i="8"/>
  <c r="X45" i="8"/>
  <c r="V36" i="8"/>
  <c r="V49" i="8" s="1"/>
  <c r="V50" i="8" s="1"/>
  <c r="W48" i="8" s="1"/>
  <c r="V39" i="8"/>
  <c r="Z21" i="8" l="1"/>
  <c r="Z22" i="8"/>
  <c r="Z25" i="8"/>
  <c r="Z41" i="8" s="1"/>
  <c r="Z43" i="8" s="1"/>
  <c r="Z38" i="8"/>
  <c r="AA14" i="8"/>
  <c r="AA15" i="8" s="1"/>
  <c r="AA20" i="8" s="1"/>
  <c r="AB12" i="8"/>
  <c r="AC10" i="8"/>
  <c r="Y44" i="8"/>
  <c r="Y30" i="8" s="1"/>
  <c r="Y45" i="8"/>
  <c r="Y32" i="8" s="1"/>
  <c r="X32" i="8"/>
  <c r="AK45" i="8"/>
  <c r="W49" i="8"/>
  <c r="W50" i="8" s="1"/>
  <c r="X48" i="8" s="1"/>
  <c r="X30" i="8"/>
  <c r="AK44" i="8"/>
  <c r="AB14" i="8" l="1"/>
  <c r="AB15" i="8" s="1"/>
  <c r="AB20" i="8" s="1"/>
  <c r="X34" i="8"/>
  <c r="AA22" i="8"/>
  <c r="AA21" i="8"/>
  <c r="AA25" i="8"/>
  <c r="AA41" i="8" s="1"/>
  <c r="AA43" i="8" s="1"/>
  <c r="AA38" i="8"/>
  <c r="Y34" i="8"/>
  <c r="Z44" i="8"/>
  <c r="Z30" i="8" s="1"/>
  <c r="Z45" i="8"/>
  <c r="Z32" i="8" s="1"/>
  <c r="AD10" i="8"/>
  <c r="AC12" i="8"/>
  <c r="AB21" i="8" l="1"/>
  <c r="AB22" i="8"/>
  <c r="AB25" i="8"/>
  <c r="AB41" i="8" s="1"/>
  <c r="AB43" i="8" s="1"/>
  <c r="AB38" i="8"/>
  <c r="Z34" i="8"/>
  <c r="X39" i="8"/>
  <c r="X36" i="8"/>
  <c r="X49" i="8" s="1"/>
  <c r="X50" i="8" s="1"/>
  <c r="Y48" i="8" s="1"/>
  <c r="AC14" i="8"/>
  <c r="AC15" i="8" s="1"/>
  <c r="AC20" i="8" s="1"/>
  <c r="Y36" i="8"/>
  <c r="Y39" i="8"/>
  <c r="AA44" i="8"/>
  <c r="AA30" i="8" s="1"/>
  <c r="AA45" i="8"/>
  <c r="AA32" i="8" s="1"/>
  <c r="AD12" i="8"/>
  <c r="AE10" i="8"/>
  <c r="AA34" i="8" l="1"/>
  <c r="AA39" i="8" s="1"/>
  <c r="AC25" i="8"/>
  <c r="AC41" i="8" s="1"/>
  <c r="AC43" i="8" s="1"/>
  <c r="AC22" i="8"/>
  <c r="AC21" i="8"/>
  <c r="AC38" i="8"/>
  <c r="AE12" i="8"/>
  <c r="AF10" i="8"/>
  <c r="AD14" i="8"/>
  <c r="AD15" i="8" s="1"/>
  <c r="AD20" i="8" s="1"/>
  <c r="Y49" i="8"/>
  <c r="Y50" i="8" s="1"/>
  <c r="Z48" i="8" s="1"/>
  <c r="Z36" i="8"/>
  <c r="Z39" i="8"/>
  <c r="AB44" i="8"/>
  <c r="AB30" i="8" s="1"/>
  <c r="AB45" i="8"/>
  <c r="AB32" i="8" s="1"/>
  <c r="AA36" i="8" l="1"/>
  <c r="Z49" i="8"/>
  <c r="Z50" i="8" s="1"/>
  <c r="AA48" i="8" s="1"/>
  <c r="AD25" i="8"/>
  <c r="AD41" i="8" s="1"/>
  <c r="AD43" i="8" s="1"/>
  <c r="AD21" i="8"/>
  <c r="AD22" i="8"/>
  <c r="AD38" i="8"/>
  <c r="AF12" i="8"/>
  <c r="AG10" i="8"/>
  <c r="AE14" i="8"/>
  <c r="AE15" i="8" s="1"/>
  <c r="AE20" i="8" s="1"/>
  <c r="AC44" i="8"/>
  <c r="AC30" i="8" s="1"/>
  <c r="AC45" i="8"/>
  <c r="AC32" i="8" s="1"/>
  <c r="AB34" i="8"/>
  <c r="AA49" i="8" l="1"/>
  <c r="AA50" i="8" s="1"/>
  <c r="AB48" i="8" s="1"/>
  <c r="AE21" i="8"/>
  <c r="AE22" i="8"/>
  <c r="AE25" i="8"/>
  <c r="AE41" i="8" s="1"/>
  <c r="AE43" i="8" s="1"/>
  <c r="AE38" i="8"/>
  <c r="AB39" i="8"/>
  <c r="AB36" i="8"/>
  <c r="AH10" i="8"/>
  <c r="AH12" i="8" s="1"/>
  <c r="AG12" i="8"/>
  <c r="AC34" i="8"/>
  <c r="AF14" i="8"/>
  <c r="AF15" i="8" s="1"/>
  <c r="AF20" i="8" s="1"/>
  <c r="AD45" i="8"/>
  <c r="AD32" i="8" s="1"/>
  <c r="AD44" i="8"/>
  <c r="AD30" i="8" s="1"/>
  <c r="AB49" i="8" l="1"/>
  <c r="AB50" i="8" s="1"/>
  <c r="AC48" i="8" s="1"/>
  <c r="AG14" i="8"/>
  <c r="AG15" i="8" s="1"/>
  <c r="AG20" i="8" s="1"/>
  <c r="AF25" i="8"/>
  <c r="AF41" i="8" s="1"/>
  <c r="AF43" i="8" s="1"/>
  <c r="AF21" i="8"/>
  <c r="AF22" i="8"/>
  <c r="AF38" i="8"/>
  <c r="AH14" i="8"/>
  <c r="AH15" i="8" s="1"/>
  <c r="AH20" i="8" s="1"/>
  <c r="AD34" i="8"/>
  <c r="AC39" i="8"/>
  <c r="AC36" i="8"/>
  <c r="AE45" i="8"/>
  <c r="AE32" i="8" s="1"/>
  <c r="AE44" i="8"/>
  <c r="AE30" i="8" s="1"/>
  <c r="AC49" i="8" l="1"/>
  <c r="AC50" i="8" s="1"/>
  <c r="AD48" i="8" s="1"/>
  <c r="AH25" i="8"/>
  <c r="AH41" i="8" s="1"/>
  <c r="AH43" i="8" s="1"/>
  <c r="AH21" i="8"/>
  <c r="AH22" i="8"/>
  <c r="AH38" i="8"/>
  <c r="AG25" i="8"/>
  <c r="AG41" i="8" s="1"/>
  <c r="AG43" i="8" s="1"/>
  <c r="AG21" i="8"/>
  <c r="AG22" i="8"/>
  <c r="AG38" i="8"/>
  <c r="AE34" i="8"/>
  <c r="AD36" i="8"/>
  <c r="AD39" i="8"/>
  <c r="AF44" i="8"/>
  <c r="AF30" i="8" s="1"/>
  <c r="AF45" i="8"/>
  <c r="AF32" i="8" s="1"/>
  <c r="AD49" i="8" l="1"/>
  <c r="AD50" i="8" s="1"/>
  <c r="AE48" i="8" s="1"/>
  <c r="AE39" i="8"/>
  <c r="AE36" i="8"/>
  <c r="AH44" i="8"/>
  <c r="AH30" i="8" s="1"/>
  <c r="AH45" i="8"/>
  <c r="AH32" i="8" s="1"/>
  <c r="AF34" i="8"/>
  <c r="AG44" i="8"/>
  <c r="AG30" i="8" s="1"/>
  <c r="AG45" i="8"/>
  <c r="AG32" i="8" s="1"/>
  <c r="AE49" i="8" l="1"/>
  <c r="AE50" i="8" s="1"/>
  <c r="AF48" i="8" s="1"/>
  <c r="AG34" i="8"/>
  <c r="AG36" i="8" s="1"/>
  <c r="AF39" i="8"/>
  <c r="AF36" i="8"/>
  <c r="AH34" i="8"/>
  <c r="AF49" i="8" l="1"/>
  <c r="AF50" i="8" s="1"/>
  <c r="AG48" i="8" s="1"/>
  <c r="AG39" i="8"/>
  <c r="AH36" i="8"/>
  <c r="AH39" i="8"/>
  <c r="AG49" i="8"/>
  <c r="AG50" i="8" s="1"/>
  <c r="AH48" i="8" s="1"/>
  <c r="AH49" i="8" l="1"/>
  <c r="AH50" i="8" s="1"/>
</calcChain>
</file>

<file path=xl/comments1.xml><?xml version="1.0" encoding="utf-8"?>
<comments xmlns="http://schemas.openxmlformats.org/spreadsheetml/2006/main">
  <authors>
    <author>Gregg</author>
    <author>Natalie Britt</author>
  </authors>
  <commentList>
    <comment ref="I9" authorId="0">
      <text>
        <r>
          <rPr>
            <b/>
            <sz val="9"/>
            <color indexed="81"/>
            <rFont val="Tahoma"/>
            <family val="2"/>
          </rPr>
          <t>Gregg:
Estimate---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Gregg:</t>
        </r>
        <r>
          <rPr>
            <sz val="9"/>
            <color indexed="81"/>
            <rFont val="Tahoma"/>
            <family val="2"/>
          </rPr>
          <t xml:space="preserve">
Max allowed for round 1 bond deals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Gregg:</t>
        </r>
        <r>
          <rPr>
            <sz val="9"/>
            <color indexed="81"/>
            <rFont val="Tahoma"/>
            <family val="2"/>
          </rPr>
          <t xml:space="preserve">
Estimate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Gregg:</t>
        </r>
        <r>
          <rPr>
            <sz val="9"/>
            <color indexed="81"/>
            <rFont val="Tahoma"/>
            <family val="2"/>
          </rPr>
          <t xml:space="preserve">
$2,000 more than 9% limit</t>
        </r>
      </text>
    </comment>
    <comment ref="H32" authorId="1">
      <text>
        <r>
          <rPr>
            <b/>
            <sz val="9"/>
            <color indexed="81"/>
            <rFont val="Tahoma"/>
            <charset val="1"/>
          </rPr>
          <t>Natalie Britt:</t>
        </r>
        <r>
          <rPr>
            <sz val="9"/>
            <color indexed="81"/>
            <rFont val="Tahoma"/>
            <charset val="1"/>
          </rPr>
          <t xml:space="preserve">
reduced from max via formula
</t>
        </r>
      </text>
    </comment>
    <comment ref="H37" authorId="0">
      <text>
        <r>
          <rPr>
            <sz val="9"/>
            <color indexed="81"/>
            <rFont val="Tahoma"/>
            <family val="2"/>
          </rPr>
          <t>from Dave Kautter</t>
        </r>
      </text>
    </comment>
    <comment ref="H47" authorId="1">
      <text>
        <r>
          <rPr>
            <b/>
            <sz val="9"/>
            <color indexed="81"/>
            <rFont val="Tahoma"/>
            <charset val="1"/>
          </rPr>
          <t>Natalie Britt:</t>
        </r>
        <r>
          <rPr>
            <sz val="9"/>
            <color indexed="81"/>
            <rFont val="Tahoma"/>
            <charset val="1"/>
          </rPr>
          <t xml:space="preserve">
from Dave Kautter</t>
        </r>
      </text>
    </comment>
    <comment ref="H64" authorId="1">
      <text>
        <r>
          <rPr>
            <b/>
            <sz val="9"/>
            <color indexed="81"/>
            <rFont val="Tahoma"/>
            <charset val="1"/>
          </rPr>
          <t>Natalie Britt:</t>
        </r>
        <r>
          <rPr>
            <sz val="9"/>
            <color indexed="81"/>
            <rFont val="Tahoma"/>
            <charset val="1"/>
          </rPr>
          <t xml:space="preserve">
impact fees only for new units that weren't previously on this portion of site. plug number for other permitting, stormwater fees, etc.</t>
        </r>
      </text>
    </comment>
    <comment ref="H78" authorId="0">
      <text>
        <r>
          <rPr>
            <sz val="9"/>
            <color indexed="81"/>
            <rFont val="Tahoma"/>
            <family val="2"/>
          </rPr>
          <t xml:space="preserve">placeholder #
</t>
        </r>
      </text>
    </comment>
    <comment ref="H79" authorId="1">
      <text>
        <r>
          <rPr>
            <b/>
            <sz val="9"/>
            <color indexed="81"/>
            <rFont val="Tahoma"/>
            <charset val="1"/>
          </rPr>
          <t>Natalie Britt:</t>
        </r>
        <r>
          <rPr>
            <sz val="9"/>
            <color indexed="81"/>
            <rFont val="Tahoma"/>
            <charset val="1"/>
          </rPr>
          <t xml:space="preserve">
1% issuer fee to RHA</t>
        </r>
      </text>
    </comment>
    <comment ref="H81" authorId="1">
      <text>
        <r>
          <rPr>
            <b/>
            <sz val="9"/>
            <color indexed="81"/>
            <rFont val="Tahoma"/>
            <family val="2"/>
          </rPr>
          <t>Natalie Britt:</t>
        </r>
        <r>
          <rPr>
            <sz val="9"/>
            <color indexed="81"/>
            <rFont val="Tahoma"/>
            <family val="2"/>
          </rPr>
          <t xml:space="preserve">
1% for City and matched Atando's 2.5% 
</t>
        </r>
      </text>
    </comment>
    <comment ref="H94" authorId="1">
      <text>
        <r>
          <rPr>
            <b/>
            <sz val="9"/>
            <color indexed="81"/>
            <rFont val="Tahoma"/>
            <charset val="1"/>
          </rPr>
          <t>Natalie Britt:</t>
        </r>
        <r>
          <rPr>
            <sz val="9"/>
            <color indexed="81"/>
            <rFont val="Tahoma"/>
            <charset val="1"/>
          </rPr>
          <t xml:space="preserve">
DHIC corporate + Mary Nash as bond counsel
+ RHA counsel
</t>
        </r>
      </text>
    </comment>
    <comment ref="J126" authorId="0">
      <text>
        <r>
          <rPr>
            <b/>
            <sz val="9"/>
            <color indexed="81"/>
            <rFont val="Tahoma"/>
            <family val="2"/>
          </rPr>
          <t>Gregg:</t>
        </r>
        <r>
          <rPr>
            <sz val="9"/>
            <color indexed="81"/>
            <rFont val="Tahoma"/>
            <family val="2"/>
          </rPr>
          <t xml:space="preserve">
Assume that we can take boost</t>
        </r>
      </text>
    </comment>
    <comment ref="I133" authorId="0">
      <text>
        <r>
          <rPr>
            <b/>
            <sz val="9"/>
            <color indexed="81"/>
            <rFont val="Tahoma"/>
            <family val="2"/>
          </rPr>
          <t>Gregg:</t>
        </r>
        <r>
          <rPr>
            <sz val="9"/>
            <color indexed="81"/>
            <rFont val="Tahoma"/>
            <family val="2"/>
          </rPr>
          <t xml:space="preserve">
Could be more</t>
        </r>
      </text>
    </comment>
  </commentList>
</comments>
</file>

<file path=xl/comments2.xml><?xml version="1.0" encoding="utf-8"?>
<comments xmlns="http://schemas.openxmlformats.org/spreadsheetml/2006/main">
  <authors>
    <author>Gregg Warren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2rW</t>
        </r>
      </text>
    </comment>
    <comment ref="E99" authorId="0">
      <text>
        <r>
          <rPr>
            <b/>
            <sz val="9"/>
            <color indexed="81"/>
            <rFont val="Tahoma"/>
            <family val="2"/>
          </rPr>
          <t xml:space="preserve">WG Village is $32,000/unit
</t>
        </r>
      </text>
    </comment>
    <comment ref="F110" authorId="0">
      <text>
        <r>
          <rPr>
            <b/>
            <sz val="9"/>
            <color indexed="81"/>
            <rFont val="Tahoma"/>
            <family val="2"/>
          </rPr>
          <t>Gregg Warren:</t>
        </r>
        <r>
          <rPr>
            <sz val="9"/>
            <color indexed="81"/>
            <rFont val="Tahoma"/>
            <family val="2"/>
          </rPr>
          <t xml:space="preserve">
Take your pick on this number...</t>
        </r>
      </text>
    </comment>
  </commentList>
</comments>
</file>

<file path=xl/sharedStrings.xml><?xml version="1.0" encoding="utf-8"?>
<sst xmlns="http://schemas.openxmlformats.org/spreadsheetml/2006/main" count="1555" uniqueCount="759">
  <si>
    <t>Project Name</t>
  </si>
  <si>
    <t>City</t>
  </si>
  <si>
    <t>County</t>
  </si>
  <si>
    <t>Address</t>
  </si>
  <si>
    <t>ZIP</t>
  </si>
  <si>
    <t>Census Tract</t>
  </si>
  <si>
    <t>Project Type</t>
  </si>
  <si>
    <t>New Construction</t>
  </si>
  <si>
    <t>QCT or DDA?</t>
  </si>
  <si>
    <t>Yes</t>
  </si>
  <si>
    <t>No</t>
  </si>
  <si>
    <t>Target Population</t>
  </si>
  <si>
    <t>Adaptive Reuse</t>
  </si>
  <si>
    <t>New+Rehab</t>
  </si>
  <si>
    <t>Acquisition/Rehab</t>
  </si>
  <si>
    <t>Historic Rehab</t>
  </si>
  <si>
    <t>Family</t>
  </si>
  <si>
    <t>Homeless</t>
  </si>
  <si>
    <t>SRO</t>
  </si>
  <si>
    <t>Supportive</t>
  </si>
  <si>
    <t>Elderly (55+)</t>
  </si>
  <si>
    <t>Elderly (62+)</t>
  </si>
  <si>
    <t>Rental Assistance?</t>
  </si>
  <si>
    <t>If "Yes", no. of units</t>
  </si>
  <si>
    <t>Site Acreage</t>
  </si>
  <si>
    <t>Buildable Acreage</t>
  </si>
  <si>
    <t>Purchase Price</t>
  </si>
  <si>
    <t>Site Control</t>
  </si>
  <si>
    <t>Purchase Date (if applicable)</t>
  </si>
  <si>
    <t>Purchase</t>
  </si>
  <si>
    <t>Option</t>
  </si>
  <si>
    <t>Ownership Entity</t>
  </si>
  <si>
    <t>State</t>
  </si>
  <si>
    <t>Entity Type</t>
  </si>
  <si>
    <t>Status</t>
  </si>
  <si>
    <t>NC</t>
  </si>
  <si>
    <t>Entity Status</t>
  </si>
  <si>
    <t>Formed</t>
  </si>
  <si>
    <t>To be formed</t>
  </si>
  <si>
    <t>LLC</t>
  </si>
  <si>
    <t>LP</t>
  </si>
  <si>
    <t>LLP</t>
  </si>
  <si>
    <t>Project Description</t>
  </si>
  <si>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</si>
  <si>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</si>
  <si>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</si>
  <si>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</si>
  <si>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</si>
  <si>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</si>
  <si>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</si>
  <si>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</si>
  <si>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</si>
  <si>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</si>
  <si>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</si>
  <si>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</si>
  <si>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</si>
  <si>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</si>
  <si>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</si>
  <si>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</si>
  <si>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</si>
  <si>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</si>
  <si>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</si>
  <si>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</si>
  <si>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</si>
  <si>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</si>
  <si>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</si>
  <si>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</si>
  <si>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</si>
  <si>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</si>
  <si>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</si>
  <si>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</si>
  <si>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</si>
  <si>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</si>
  <si>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</si>
  <si>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</si>
  <si>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</si>
  <si>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</si>
  <si>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</si>
  <si>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</si>
  <si>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</si>
  <si>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</si>
  <si>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</si>
  <si>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</si>
  <si>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</si>
  <si>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</si>
  <si>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</si>
  <si>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</si>
  <si>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</si>
  <si>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</si>
  <si>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</si>
  <si>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</si>
  <si>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</si>
  <si>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</si>
  <si>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</si>
  <si>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</si>
  <si>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</si>
  <si>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</si>
  <si>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Lincoln County</t>
  </si>
  <si>
    <t>McDowell County</t>
  </si>
  <si>
    <t>Macon County</t>
  </si>
  <si>
    <t>Madison County</t>
  </si>
  <si>
    <t>Martin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</si>
  <si>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</si>
  <si>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</si>
  <si>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</si>
  <si>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</si>
  <si>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</si>
  <si>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</si>
  <si>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</si>
  <si>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</si>
  <si>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</si>
  <si>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</si>
  <si>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</si>
  <si>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</si>
  <si>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</si>
  <si>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</si>
  <si>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</si>
  <si>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</si>
  <si>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</si>
  <si>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</si>
  <si>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</si>
  <si>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</si>
  <si>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</si>
  <si>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</si>
  <si>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</si>
  <si>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</si>
  <si>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</si>
  <si>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</si>
  <si>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</si>
  <si>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</si>
  <si>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</si>
  <si>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</si>
  <si>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</si>
  <si>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</si>
  <si>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</si>
  <si>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</si>
  <si>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</si>
  <si>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</si>
  <si>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</si>
  <si>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</si>
  <si>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</si>
  <si>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</si>
  <si>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</si>
  <si>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Income &amp; Expenses</t>
  </si>
  <si>
    <t>BRs</t>
  </si>
  <si>
    <t>Sq. Ft.</t>
  </si>
  <si>
    <t># of Units</t>
  </si>
  <si>
    <t>Monthly Rent</t>
  </si>
  <si>
    <t>Utility Allowance</t>
  </si>
  <si>
    <t>Gross Rent</t>
  </si>
  <si>
    <t>AMI Restriction</t>
  </si>
  <si>
    <t>Gross Rent % of Max</t>
  </si>
  <si>
    <t>Max Rent</t>
  </si>
  <si>
    <t>Market</t>
  </si>
  <si>
    <t>METRO15500M15500</t>
  </si>
  <si>
    <t>Burlington, NC MSA</t>
  </si>
  <si>
    <t>Special</t>
  </si>
  <si>
    <t>3700199999</t>
  </si>
  <si>
    <t>NORTH CAROLINA</t>
  </si>
  <si>
    <t>METRO25860M25860</t>
  </si>
  <si>
    <t>Hickory-Lenoir-Morganton, NC MSA</t>
  </si>
  <si>
    <t>3700399999</t>
  </si>
  <si>
    <t>NCNTY37005N37005</t>
  </si>
  <si>
    <t>Alleghany County, NC</t>
  </si>
  <si>
    <t>3700599999</t>
  </si>
  <si>
    <t>METRO16740N37007</t>
  </si>
  <si>
    <t>Anson County, NC HUD Metro FMR Area</t>
  </si>
  <si>
    <t>3700799999</t>
  </si>
  <si>
    <t>NCNTY37009N37009</t>
  </si>
  <si>
    <t>Ashe County, NC</t>
  </si>
  <si>
    <t>3700999999</t>
  </si>
  <si>
    <t>NCNTY37011N37011</t>
  </si>
  <si>
    <t>Avery County, NC</t>
  </si>
  <si>
    <t>3701199999</t>
  </si>
  <si>
    <t>NCNTY37013N37013</t>
  </si>
  <si>
    <t>Beaufort County, NC</t>
  </si>
  <si>
    <t>3701399999</t>
  </si>
  <si>
    <t>NCNTY37015N37015</t>
  </si>
  <si>
    <t>Bertie County, NC</t>
  </si>
  <si>
    <t>3701599999</t>
  </si>
  <si>
    <t>NCNTY37017N37017</t>
  </si>
  <si>
    <t>Bladen County, NC</t>
  </si>
  <si>
    <t>3701799999</t>
  </si>
  <si>
    <t>METRO48900M48900</t>
  </si>
  <si>
    <t>Wilmington, NC HUD Metro FMR Area</t>
  </si>
  <si>
    <t>3701999999</t>
  </si>
  <si>
    <t>METRO11700M11700</t>
  </si>
  <si>
    <t>Asheville, NC HUD Metro FMR Area</t>
  </si>
  <si>
    <t>Regular</t>
  </si>
  <si>
    <t>3702199999</t>
  </si>
  <si>
    <t>3702399999</t>
  </si>
  <si>
    <t>METRO16740M16740</t>
  </si>
  <si>
    <t>Charlotte-Gastonia-Rock Hill, NC-SC HUD Metro FMR Area</t>
  </si>
  <si>
    <t>3702599999</t>
  </si>
  <si>
    <t>3702799999</t>
  </si>
  <si>
    <t>NCNTY37029N37029</t>
  </si>
  <si>
    <t>Camden County, NC</t>
  </si>
  <si>
    <t>3702999999</t>
  </si>
  <si>
    <t>NCNTY37031N37031</t>
  </si>
  <si>
    <t>Carteret County, NC</t>
  </si>
  <si>
    <t>3703199999</t>
  </si>
  <si>
    <t>NCNTY37033N37033</t>
  </si>
  <si>
    <t>Caswell County, NC</t>
  </si>
  <si>
    <t>3703399999</t>
  </si>
  <si>
    <t>3703599999</t>
  </si>
  <si>
    <t>METRO20500M20500</t>
  </si>
  <si>
    <t>Durham-Chapel Hill, NC HUD Metro FMR Area</t>
  </si>
  <si>
    <t>3703799999</t>
  </si>
  <si>
    <t>NCNTY37039N37039</t>
  </si>
  <si>
    <t>Cherokee County, NC</t>
  </si>
  <si>
    <t>3703999999</t>
  </si>
  <si>
    <t>NCNTY37041N37041</t>
  </si>
  <si>
    <t>Chowan County, NC</t>
  </si>
  <si>
    <t>3704199999</t>
  </si>
  <si>
    <t>NCNTY37043N37043</t>
  </si>
  <si>
    <t>Clay County, NC</t>
  </si>
  <si>
    <t>3704399999</t>
  </si>
  <si>
    <t>NCNTY37045N37045</t>
  </si>
  <si>
    <t>Cleveland County, NC</t>
  </si>
  <si>
    <t>3704599999</t>
  </si>
  <si>
    <t>NCNTY37047N37047</t>
  </si>
  <si>
    <t>Columbus County, NC</t>
  </si>
  <si>
    <t>3704799999</t>
  </si>
  <si>
    <t>NCNTY37049N37049</t>
  </si>
  <si>
    <t>Craven County, NC</t>
  </si>
  <si>
    <t>3704999999</t>
  </si>
  <si>
    <t>METRO22180M22180</t>
  </si>
  <si>
    <t>Fayetteville, NC HUD Metro FMR Area</t>
  </si>
  <si>
    <t>3705199999</t>
  </si>
  <si>
    <t>METRO47260M47260</t>
  </si>
  <si>
    <t>Virginia Beach-Norfolk-Newport News, VA-NC MSA</t>
  </si>
  <si>
    <t>3705399999</t>
  </si>
  <si>
    <t>NCNTY37055N37055</t>
  </si>
  <si>
    <t>Dare County, NC</t>
  </si>
  <si>
    <t>3705599999</t>
  </si>
  <si>
    <t>NCNTY37057N37057</t>
  </si>
  <si>
    <t>Davidson County, NC</t>
  </si>
  <si>
    <t>3705799999</t>
  </si>
  <si>
    <t>METRO49180M49180</t>
  </si>
  <si>
    <t>Winston-Salem, NC MSA</t>
  </si>
  <si>
    <t>3705999999</t>
  </si>
  <si>
    <t>NCNTY37061N37061</t>
  </si>
  <si>
    <t>Duplin County, NC</t>
  </si>
  <si>
    <t>3706199999</t>
  </si>
  <si>
    <t>3706399999</t>
  </si>
  <si>
    <t>METRO40580M40580</t>
  </si>
  <si>
    <t>Rocky Mount, NC MSA</t>
  </si>
  <si>
    <t>3706599999</t>
  </si>
  <si>
    <t>3706799999</t>
  </si>
  <si>
    <t>METRO39580M39580</t>
  </si>
  <si>
    <t>Raleigh-Cary, NC MSA</t>
  </si>
  <si>
    <t>3706999999</t>
  </si>
  <si>
    <t>3707199999</t>
  </si>
  <si>
    <t>NCNTY37073N37073</t>
  </si>
  <si>
    <t>Gates County, NC</t>
  </si>
  <si>
    <t>3707399999</t>
  </si>
  <si>
    <t>NCNTY37075N37075</t>
  </si>
  <si>
    <t>Graham County, NC</t>
  </si>
  <si>
    <t>3707599999</t>
  </si>
  <si>
    <t>NCNTY37077N37077</t>
  </si>
  <si>
    <t>Granville County, NC</t>
  </si>
  <si>
    <t>3707799999</t>
  </si>
  <si>
    <t>METRO24780N37079</t>
  </si>
  <si>
    <t>Greene County, NC HUD Metro FMR Area</t>
  </si>
  <si>
    <t>3707999999</t>
  </si>
  <si>
    <t>METRO24660M24660</t>
  </si>
  <si>
    <t>Greensboro-High Point, NC HUD Metro FMR Area</t>
  </si>
  <si>
    <t>3708199999</t>
  </si>
  <si>
    <t>NCNTY37083N37083</t>
  </si>
  <si>
    <t>Halifax County, NC</t>
  </si>
  <si>
    <t>3708399999</t>
  </si>
  <si>
    <t>NCNTY37085N37085</t>
  </si>
  <si>
    <t>Harnett County, NC</t>
  </si>
  <si>
    <t>3708599999</t>
  </si>
  <si>
    <t>METRO11700N37087</t>
  </si>
  <si>
    <t>Haywood County, NC HUD Metro FMR Area</t>
  </si>
  <si>
    <t>3708799999</t>
  </si>
  <si>
    <t>3708999999</t>
  </si>
  <si>
    <t>NCNTY37091N37091</t>
  </si>
  <si>
    <t>Hertford County, NC</t>
  </si>
  <si>
    <t>3709199999</t>
  </si>
  <si>
    <t>METRO22180N37093</t>
  </si>
  <si>
    <t>Hoke County, NC HUD Metro FMR Area</t>
  </si>
  <si>
    <t>3709399999</t>
  </si>
  <si>
    <t>NCNTY37095N37095</t>
  </si>
  <si>
    <t>Hyde County, NC</t>
  </si>
  <si>
    <t>3709599999</t>
  </si>
  <si>
    <t>NCNTY37097N37097</t>
  </si>
  <si>
    <t>Iredell County, NC</t>
  </si>
  <si>
    <t>3709799999</t>
  </si>
  <si>
    <t>NCNTY37099N37099</t>
  </si>
  <si>
    <t>Jackson County, NC</t>
  </si>
  <si>
    <t>3709999999</t>
  </si>
  <si>
    <t>3710199999</t>
  </si>
  <si>
    <t>NCNTY37103N37103</t>
  </si>
  <si>
    <t>Jones County, NC</t>
  </si>
  <si>
    <t>3710399999</t>
  </si>
  <si>
    <t>NCNTY37105N37105</t>
  </si>
  <si>
    <t>Lee County, NC</t>
  </si>
  <si>
    <t>3710599999</t>
  </si>
  <si>
    <t>NCNTY37107N37107</t>
  </si>
  <si>
    <t>Lenoir County, NC</t>
  </si>
  <si>
    <t>3710799999</t>
  </si>
  <si>
    <t>NCNTY37109N37109</t>
  </si>
  <si>
    <t>Lincoln County, NC</t>
  </si>
  <si>
    <t>3710999999</t>
  </si>
  <si>
    <t>NCNTY37111N37111</t>
  </si>
  <si>
    <t>McDowell County, NC</t>
  </si>
  <si>
    <t>3711199999</t>
  </si>
  <si>
    <t>NCNTY37113N37113</t>
  </si>
  <si>
    <t>Macon County, NC</t>
  </si>
  <si>
    <t>3711399999</t>
  </si>
  <si>
    <t>3711599999</t>
  </si>
  <si>
    <t>NCNTY37117N37117</t>
  </si>
  <si>
    <t>Martin County, NC</t>
  </si>
  <si>
    <t>3711799999</t>
  </si>
  <si>
    <t>3711999999</t>
  </si>
  <si>
    <t>NCNTY37121N37121</t>
  </si>
  <si>
    <t>Mitchell County, NC</t>
  </si>
  <si>
    <t>3712199999</t>
  </si>
  <si>
    <t>NCNTY37123N37123</t>
  </si>
  <si>
    <t>Montgomery County, NC</t>
  </si>
  <si>
    <t>3712399999</t>
  </si>
  <si>
    <t>NCNTY37125N37125</t>
  </si>
  <si>
    <t>Moore County, NC</t>
  </si>
  <si>
    <t>3712599999</t>
  </si>
  <si>
    <t>3712799999</t>
  </si>
  <si>
    <t>3712999999</t>
  </si>
  <si>
    <t>NCNTY37131N37131</t>
  </si>
  <si>
    <t>Northampton County, NC</t>
  </si>
  <si>
    <t>3713199999</t>
  </si>
  <si>
    <t>METRO27340M27340</t>
  </si>
  <si>
    <t>Jacksonville, NC MSA</t>
  </si>
  <si>
    <t>3713399999</t>
  </si>
  <si>
    <t>3713599999</t>
  </si>
  <si>
    <t>NCNTY37137N37137</t>
  </si>
  <si>
    <t>Pamlico County, NC</t>
  </si>
  <si>
    <t>3713799999</t>
  </si>
  <si>
    <t>NCNTY37139N37139</t>
  </si>
  <si>
    <t>Pasquotank County, NC</t>
  </si>
  <si>
    <t>3713999999</t>
  </si>
  <si>
    <t>METRO48900N37141</t>
  </si>
  <si>
    <t>Pender County, NC HUD Metro FMR Area</t>
  </si>
  <si>
    <t>3714199999</t>
  </si>
  <si>
    <t>NCNTY37143N37143</t>
  </si>
  <si>
    <t>Perquimans County, NC</t>
  </si>
  <si>
    <t>3714399999</t>
  </si>
  <si>
    <t>METRO20500N37145</t>
  </si>
  <si>
    <t>Person County, NC HUD Metro FMR Area</t>
  </si>
  <si>
    <t>3714599999</t>
  </si>
  <si>
    <t>METRO24780M24780</t>
  </si>
  <si>
    <t>Greenville, NC HUD Metro FMR Area</t>
  </si>
  <si>
    <t>3714799999</t>
  </si>
  <si>
    <t>NCNTY37149N37149</t>
  </si>
  <si>
    <t>Polk County, NC</t>
  </si>
  <si>
    <t>3714999999</t>
  </si>
  <si>
    <t>3715199999</t>
  </si>
  <si>
    <t>NCNTY37153N37153</t>
  </si>
  <si>
    <t>Richmond County, NC</t>
  </si>
  <si>
    <t>3715399999</t>
  </si>
  <si>
    <t>NCNTY37155N37155</t>
  </si>
  <si>
    <t>Robeson County, NC</t>
  </si>
  <si>
    <t>3715599999</t>
  </si>
  <si>
    <t>METRO24660N37157</t>
  </si>
  <si>
    <t>Rockingham County, NC HUD Metro FMR Area</t>
  </si>
  <si>
    <t>3715799999</t>
  </si>
  <si>
    <t>NCNTY37159N37159</t>
  </si>
  <si>
    <t>Rowan County, NC</t>
  </si>
  <si>
    <t>3715999999</t>
  </si>
  <si>
    <t>NCNTY37161N37161</t>
  </si>
  <si>
    <t>Rutherford County, NC</t>
  </si>
  <si>
    <t>3716199999</t>
  </si>
  <si>
    <t>NCNTY37163N37163</t>
  </si>
  <si>
    <t>Sampson County, NC</t>
  </si>
  <si>
    <t>3716399999</t>
  </si>
  <si>
    <t>NCNTY37165N37165</t>
  </si>
  <si>
    <t>Scotland County, NC</t>
  </si>
  <si>
    <t>3716599999</t>
  </si>
  <si>
    <t>NCNTY37167N37167</t>
  </si>
  <si>
    <t>Stanly County, NC</t>
  </si>
  <si>
    <t>3716799999</t>
  </si>
  <si>
    <t>3716999999</t>
  </si>
  <si>
    <t>NCNTY37171N37171</t>
  </si>
  <si>
    <t>Surry County, NC</t>
  </si>
  <si>
    <t>3717199999</t>
  </si>
  <si>
    <t>NCNTY37173N37173</t>
  </si>
  <si>
    <t>Swain County, NC</t>
  </si>
  <si>
    <t>3717399999</t>
  </si>
  <si>
    <t>NCNTY37175N37175</t>
  </si>
  <si>
    <t>Transylvania County, NC</t>
  </si>
  <si>
    <t>3717599999</t>
  </si>
  <si>
    <t>NCNTY37177N37177</t>
  </si>
  <si>
    <t>Tyrrell County, NC</t>
  </si>
  <si>
    <t>3717799999</t>
  </si>
  <si>
    <t>3717999999</t>
  </si>
  <si>
    <t>NCNTY37181N37181</t>
  </si>
  <si>
    <t>Vance County, NC</t>
  </si>
  <si>
    <t>3718199999</t>
  </si>
  <si>
    <t>3718399999</t>
  </si>
  <si>
    <t>NCNTY37185N37185</t>
  </si>
  <si>
    <t>Warren County, NC</t>
  </si>
  <si>
    <t>3718599999</t>
  </si>
  <si>
    <t>NCNTY37187N37187</t>
  </si>
  <si>
    <t>Washington County, NC</t>
  </si>
  <si>
    <t>3718799999</t>
  </si>
  <si>
    <t>NCNTY37189N37189</t>
  </si>
  <si>
    <t>Watauga County, NC</t>
  </si>
  <si>
    <t>3718999999</t>
  </si>
  <si>
    <t>METRO24140M24140</t>
  </si>
  <si>
    <t>Goldsboro, NC MSA</t>
  </si>
  <si>
    <t>3719199999</t>
  </si>
  <si>
    <t>NCNTY37193N37193</t>
  </si>
  <si>
    <t>Wilkes County, NC</t>
  </si>
  <si>
    <t>3719399999</t>
  </si>
  <si>
    <t>NCNTY37195N37195</t>
  </si>
  <si>
    <t>Wilson County, NC</t>
  </si>
  <si>
    <t>3719599999</t>
  </si>
  <si>
    <t>3719799999</t>
  </si>
  <si>
    <t>NCNTY37199N37199</t>
  </si>
  <si>
    <t>Yancey County, NC</t>
  </si>
  <si>
    <t>3719999999</t>
  </si>
  <si>
    <t>CBSASub</t>
  </si>
  <si>
    <t>Areaname</t>
  </si>
  <si>
    <t>median2014</t>
  </si>
  <si>
    <t>lim50_14p1</t>
  </si>
  <si>
    <t>lim50_14p2</t>
  </si>
  <si>
    <t>lim50_14p3</t>
  </si>
  <si>
    <t>lim50_14p4</t>
  </si>
  <si>
    <t>lim50_14p5</t>
  </si>
  <si>
    <t>lim50_14p6</t>
  </si>
  <si>
    <t>lim50_14p7</t>
  </si>
  <si>
    <t>lim50_14p8</t>
  </si>
  <si>
    <t>Lim60_14p1</t>
  </si>
  <si>
    <t>Lim60_14p2</t>
  </si>
  <si>
    <t>Lim60_14p3</t>
  </si>
  <si>
    <t>Lim60_14p4</t>
  </si>
  <si>
    <t>Lim60_14p5</t>
  </si>
  <si>
    <t>Lim60_14p6</t>
  </si>
  <si>
    <t>Lim60_14p7</t>
  </si>
  <si>
    <t>Lim60_14p8</t>
  </si>
  <si>
    <t>HERA_Lim_type14</t>
  </si>
  <si>
    <t>Lim50_HERA_14p1</t>
  </si>
  <si>
    <t>Lim50_HERA_14p2</t>
  </si>
  <si>
    <t>Lim50_HERA_14p3</t>
  </si>
  <si>
    <t>Lim50_HERA_14p4</t>
  </si>
  <si>
    <t>Lim50_HERA_14p5</t>
  </si>
  <si>
    <t>Lim50_HERA_14p6</t>
  </si>
  <si>
    <t>Lim50_HERA_14p7</t>
  </si>
  <si>
    <t>Lim50_HERA_14p8</t>
  </si>
  <si>
    <t>Lim60_HERA_14p1</t>
  </si>
  <si>
    <t>Lim60_HERA_14p2</t>
  </si>
  <si>
    <t>Lim60_HERA_14p3</t>
  </si>
  <si>
    <t>Lim60_HERA_14p4</t>
  </si>
  <si>
    <t>Lim60_HERA_14p5</t>
  </si>
  <si>
    <t>Lim60_HERA_14p6</t>
  </si>
  <si>
    <t>Lim60_HERA_14p7</t>
  </si>
  <si>
    <t>Lim60_HERA_14p8</t>
  </si>
  <si>
    <t>fips2000</t>
  </si>
  <si>
    <t>fips2010</t>
  </si>
  <si>
    <t>statename</t>
  </si>
  <si>
    <t>metro</t>
  </si>
  <si>
    <t>county_town_name</t>
  </si>
  <si>
    <t>stusps</t>
  </si>
  <si>
    <t>county</t>
  </si>
  <si>
    <t>county_name</t>
  </si>
  <si>
    <t>Notes</t>
  </si>
  <si>
    <t>Total Monthly Rent:</t>
  </si>
  <si>
    <t>Total Annual Rent:</t>
  </si>
  <si>
    <t>Total Units:</t>
  </si>
  <si>
    <t>Efficiency</t>
  </si>
  <si>
    <t>(Dataset downloaded 8/10/2014 at http://www.huduser.org/portal/datasets/mtsp.html)</t>
  </si>
  <si>
    <t>FY2014 Multifamily Tax Subsidy Projects (MTSP) Income Limits</t>
  </si>
  <si>
    <t>Effective 12/18/2013</t>
  </si>
  <si>
    <t>1 BR</t>
  </si>
  <si>
    <t>2 BR</t>
  </si>
  <si>
    <t>3 BR</t>
  </si>
  <si>
    <t>1-person</t>
  </si>
  <si>
    <t>2-person</t>
  </si>
  <si>
    <t>3-person</t>
  </si>
  <si>
    <t>4-person</t>
  </si>
  <si>
    <t>5-person</t>
  </si>
  <si>
    <t>6-person</t>
  </si>
  <si>
    <t>Impute household size by unit size from 1.5 persons per bedroom</t>
  </si>
  <si>
    <t>50% Max Rent</t>
  </si>
  <si>
    <t>60% Max Rent</t>
  </si>
  <si>
    <t>40% Max Rent</t>
  </si>
  <si>
    <t>30% Max Rent</t>
  </si>
  <si>
    <t>50% Income Limit by Household Size</t>
  </si>
  <si>
    <t>60% Income Limit by Household Size</t>
  </si>
  <si>
    <t>40% Income Limit by Household Size</t>
  </si>
  <si>
    <t>30% Income Limit by Household Size</t>
  </si>
  <si>
    <t>Income Limits and Maximum Monthly Rents</t>
  </si>
  <si>
    <t>Household Income Limits</t>
  </si>
  <si>
    <t>Household Size</t>
  </si>
  <si>
    <t>AMI %</t>
  </si>
  <si>
    <t>Total Net Sq. Ft. (heated):</t>
  </si>
  <si>
    <t>Rentable Area (sq. ft.):</t>
  </si>
  <si>
    <t>Community Space (sq. ft.)</t>
  </si>
  <si>
    <t>Gross Floor Area (sq. ft.)</t>
  </si>
  <si>
    <t>Common Area (sq. ft.):</t>
  </si>
  <si>
    <t>Common Area (%):</t>
  </si>
  <si>
    <t>Projected Year One</t>
  </si>
  <si>
    <t>Total</t>
  </si>
  <si>
    <t>per Unit</t>
  </si>
  <si>
    <t>Rent per sq. ft.</t>
  </si>
  <si>
    <t>Administrative Expenses</t>
  </si>
  <si>
    <t>Advertising</t>
  </si>
  <si>
    <t>Office Salaries</t>
  </si>
  <si>
    <t>Office Supplies</t>
  </si>
  <si>
    <t>Office or Model Apartment Rent</t>
  </si>
  <si>
    <t>Management Fee</t>
  </si>
  <si>
    <t>Manager or Superintendent Salaries</t>
  </si>
  <si>
    <t>Manager or Superintendent Rent Free Unit</t>
  </si>
  <si>
    <t>Legal Expenses (Project)</t>
  </si>
  <si>
    <t>Auditing Expenses (Project)</t>
  </si>
  <si>
    <t>Bookeeping Fees/Accounting Services</t>
  </si>
  <si>
    <t>Telephone and Answering Service</t>
  </si>
  <si>
    <t>Bad Debts</t>
  </si>
  <si>
    <t>Utility Expense</t>
  </si>
  <si>
    <t>Fuel Oil</t>
  </si>
  <si>
    <t>Electricity</t>
  </si>
  <si>
    <t>Water</t>
  </si>
  <si>
    <t>Gas</t>
  </si>
  <si>
    <t>Sewer</t>
  </si>
  <si>
    <t>Janitor and Cleaning Payroll</t>
  </si>
  <si>
    <t>Janitor and Cleaning Supplies</t>
  </si>
  <si>
    <t>Janitor and Cleaning Contract</t>
  </si>
  <si>
    <t>Exterminating Payroll/Contract</t>
  </si>
  <si>
    <t>Exterminating Supplies</t>
  </si>
  <si>
    <t>Garbage and Trash Removal</t>
  </si>
  <si>
    <t>Security Payroll/Contract</t>
  </si>
  <si>
    <t>Grounds Payroll</t>
  </si>
  <si>
    <t>Grounds Supplies</t>
  </si>
  <si>
    <t>Grounds Contract</t>
  </si>
  <si>
    <t>Repairs Payroll</t>
  </si>
  <si>
    <t>Repairs Material</t>
  </si>
  <si>
    <t>Repairs Contract</t>
  </si>
  <si>
    <t>Elevator Maintenance/Contract</t>
  </si>
  <si>
    <t>Heating/Cooling Repairs and Maintenance</t>
  </si>
  <si>
    <t>Swimming Pool Maintenance/Contract</t>
  </si>
  <si>
    <t>Snow Removal</t>
  </si>
  <si>
    <t>Decorating Payroll/Contract</t>
  </si>
  <si>
    <t>Decorating Supplies</t>
  </si>
  <si>
    <t>Real Estate Taxes</t>
  </si>
  <si>
    <t>Payroll Taxes (FICA)</t>
  </si>
  <si>
    <t>Miscellaneous Taxes, Licenses and Permits</t>
  </si>
  <si>
    <t>Property and Liability Insurance (Hazard)</t>
  </si>
  <si>
    <t>Fidelity Bond Insurance</t>
  </si>
  <si>
    <t xml:space="preserve">Workmen's Compensation </t>
  </si>
  <si>
    <t>Health Insurance and Other Employee Benefits</t>
  </si>
  <si>
    <t>Supportive Service Expenses</t>
  </si>
  <si>
    <t>Service Coordinator</t>
  </si>
  <si>
    <t>Service Supplies</t>
  </si>
  <si>
    <t>Tenant Association Funds</t>
  </si>
  <si>
    <t>Reserves</t>
  </si>
  <si>
    <t>TOTAL OPERATING EXPENSES</t>
  </si>
  <si>
    <t>Operating &amp; Maintenance Expenses</t>
  </si>
  <si>
    <t>Taxes &amp; Insurace</t>
  </si>
  <si>
    <t>Replacement Reserves</t>
  </si>
  <si>
    <t>Miscellaneous O&amp;M Expenses</t>
  </si>
  <si>
    <t>Low-Income:</t>
  </si>
  <si>
    <t>Units by BRs:</t>
  </si>
  <si>
    <t>ADJUSTED TOTAL OPERATING EXPENSES</t>
  </si>
  <si>
    <t>(less taxes, reserves, and support services)</t>
  </si>
  <si>
    <r>
      <t xml:space="preserve">Total Operating Cost </t>
    </r>
    <r>
      <rPr>
        <sz val="11"/>
        <rFont val="Calibri"/>
        <family val="2"/>
        <scheme val="minor"/>
      </rPr>
      <t>(before Supportive Services and Reserves)</t>
    </r>
  </si>
  <si>
    <t>Operating Expenses (annual)</t>
  </si>
  <si>
    <t>per Rentable sq. ft.</t>
  </si>
  <si>
    <t>Subtotal</t>
  </si>
  <si>
    <t>Sources &amp; Uses</t>
  </si>
  <si>
    <t>Use of Funds</t>
  </si>
  <si>
    <t>Source of Funds</t>
  </si>
  <si>
    <t>Purchase of Building(s) (Rehab / Adaptive Reuse Only)</t>
  </si>
  <si>
    <t>Demolition (Rehab / Adaptive Reuse Only)</t>
  </si>
  <si>
    <t xml:space="preserve">On-site Improvements  </t>
  </si>
  <si>
    <t xml:space="preserve">Off-site Improvements </t>
  </si>
  <si>
    <t xml:space="preserve">Accessory Buildings </t>
  </si>
  <si>
    <t xml:space="preserve">General Requirements   </t>
  </si>
  <si>
    <t xml:space="preserve">Contractor Overhead  </t>
  </si>
  <si>
    <t>Contractor Profit</t>
  </si>
  <si>
    <t xml:space="preserve">Construction Contingency </t>
  </si>
  <si>
    <t>Architect's Fee - Inspection</t>
  </si>
  <si>
    <t>Engineering Costs</t>
  </si>
  <si>
    <t>Construction Insurance (prorate)</t>
  </si>
  <si>
    <t>Construction Loan Interest (prorate)</t>
  </si>
  <si>
    <t>Construction Loan Credit Enhancement (prorate)</t>
  </si>
  <si>
    <t>Construction Period Taxes (prorate)</t>
  </si>
  <si>
    <t>Water, Sewer and Impact Fees</t>
  </si>
  <si>
    <t>Survey</t>
  </si>
  <si>
    <t xml:space="preserve">Property Appraisal  </t>
  </si>
  <si>
    <t xml:space="preserve">Environmental Report </t>
  </si>
  <si>
    <t xml:space="preserve">Market Study </t>
  </si>
  <si>
    <t>Bond Costs</t>
  </si>
  <si>
    <t>Bond Issuance Costs</t>
  </si>
  <si>
    <t xml:space="preserve">Placement Fee </t>
  </si>
  <si>
    <t>Title and Recording</t>
  </si>
  <si>
    <t>Real Estate Attorney</t>
  </si>
  <si>
    <t>Other Attorney's Fees</t>
  </si>
  <si>
    <t>RPP Closing Fee</t>
  </si>
  <si>
    <t>Cost Certification</t>
  </si>
  <si>
    <t>Tax Opinion</t>
  </si>
  <si>
    <t>Organizational (Partnership)</t>
  </si>
  <si>
    <t>Furnishings and Equipment</t>
  </si>
  <si>
    <t xml:space="preserve">Relocation Expenses </t>
  </si>
  <si>
    <t xml:space="preserve">Other Basis Expense </t>
  </si>
  <si>
    <t>Rent-up Expense</t>
  </si>
  <si>
    <t>Other Non-basis Expense (   )</t>
  </si>
  <si>
    <t>Other Non-basis Expense (specify)</t>
  </si>
  <si>
    <t>Other Reserve (specify)</t>
  </si>
  <si>
    <t>Less Federal Financing</t>
  </si>
  <si>
    <t>Less Disproportionate Standard</t>
  </si>
  <si>
    <t>Less Nonqualified Nonrecourse Financing</t>
  </si>
  <si>
    <t>Less Historic Tax Credit (residential)</t>
  </si>
  <si>
    <t>TOTAL ELIGIBLE BASIS</t>
  </si>
  <si>
    <t>Basis Before Boost</t>
  </si>
  <si>
    <t>TOTAL QUALIFIED BASIS</t>
  </si>
  <si>
    <t>Land Cost</t>
  </si>
  <si>
    <t>TOTAL REPLACEMENT COST</t>
  </si>
  <si>
    <t>First Mortgage</t>
  </si>
  <si>
    <t>Federal LIHTC Equity</t>
  </si>
  <si>
    <t>Deferred Developer Fee</t>
  </si>
  <si>
    <t>Interest Rate</t>
  </si>
  <si>
    <t>Amortization</t>
  </si>
  <si>
    <t>Term (years)</t>
  </si>
  <si>
    <t>Debt Service</t>
  </si>
  <si>
    <t>Interest Only</t>
  </si>
  <si>
    <t>n/a</t>
  </si>
  <si>
    <t>Total Cost</t>
  </si>
  <si>
    <t>Eligible Basis</t>
  </si>
  <si>
    <t>30% PV</t>
  </si>
  <si>
    <t>70% PV</t>
  </si>
  <si>
    <t>Rehabilitation</t>
  </si>
  <si>
    <t>Construction of New Buildings</t>
  </si>
  <si>
    <t>Impact fees</t>
  </si>
  <si>
    <t>Phase 1</t>
  </si>
  <si>
    <t>Geotechnical</t>
  </si>
  <si>
    <t>Building Inspections</t>
  </si>
  <si>
    <t>(see below)</t>
  </si>
  <si>
    <t>Other Administrative Expenses (software renewal)</t>
  </si>
  <si>
    <t>Other (specify)</t>
  </si>
  <si>
    <t>Other Insurance (specify)</t>
  </si>
  <si>
    <t>Other Expenses (specify)</t>
  </si>
  <si>
    <t>Tax Credit Monitoring Fee</t>
  </si>
  <si>
    <t>Boost for QCT/DDA</t>
  </si>
  <si>
    <t>Applicable Fraction</t>
  </si>
  <si>
    <t>Tax Credit Rate</t>
  </si>
  <si>
    <t>Federal Tax Credits Calculated</t>
  </si>
  <si>
    <t>Federal Tax Credits Requested</t>
  </si>
  <si>
    <t>per unit</t>
  </si>
  <si>
    <t>Assessed value of property as-is</t>
  </si>
  <si>
    <t>Carry period (months)</t>
  </si>
  <si>
    <t>DHIC</t>
  </si>
  <si>
    <t>Counterpart</t>
  </si>
  <si>
    <t>Local tax rate per $100</t>
  </si>
  <si>
    <t>Est. value per unit</t>
  </si>
  <si>
    <t>Water (per unit)</t>
  </si>
  <si>
    <t>Sewer (per unit)</t>
  </si>
  <si>
    <t>Transportation (per unit)</t>
  </si>
  <si>
    <t>Permanent</t>
  </si>
  <si>
    <t>Assumption</t>
  </si>
  <si>
    <t>Priority</t>
  </si>
  <si>
    <t>Construction period (months)</t>
  </si>
  <si>
    <t>Avg. Balance Outstanding</t>
  </si>
  <si>
    <t>Amount</t>
  </si>
  <si>
    <t>Rate</t>
  </si>
  <si>
    <t>Interest Paid</t>
  </si>
  <si>
    <t>Fee Paid</t>
  </si>
  <si>
    <t>Fee Rate</t>
  </si>
  <si>
    <t>Development Period Source</t>
  </si>
  <si>
    <t>Permanent Source</t>
  </si>
  <si>
    <t>20-year Pro Forma</t>
  </si>
  <si>
    <t>Other Income</t>
  </si>
  <si>
    <t>Gross Potential Income</t>
  </si>
  <si>
    <t>Vacancy Allowance</t>
  </si>
  <si>
    <t>Effective Net Rent</t>
  </si>
  <si>
    <t>Operating Expenses</t>
  </si>
  <si>
    <t>Supportive Services</t>
  </si>
  <si>
    <t>Net Operating Income</t>
  </si>
  <si>
    <t>Min. Debt Coverage</t>
  </si>
  <si>
    <t>Cash Flow Available</t>
  </si>
  <si>
    <t>Debt Coverage Ratio - First Mortgage</t>
  </si>
  <si>
    <t>Debt Coverage Ratio - All</t>
  </si>
  <si>
    <t>psf</t>
  </si>
  <si>
    <r>
      <rPr>
        <b/>
        <sz val="10"/>
        <color rgb="FF0070C0"/>
        <rFont val="Calibri"/>
        <family val="2"/>
        <scheme val="minor"/>
      </rPr>
      <t>Blue</t>
    </r>
    <r>
      <rPr>
        <sz val="10"/>
        <rFont val="Calibri"/>
        <family val="2"/>
        <scheme val="minor"/>
      </rPr>
      <t xml:space="preserve"> = hard-coded, </t>
    </r>
    <r>
      <rPr>
        <b/>
        <sz val="10"/>
        <rFont val="Calibri"/>
        <family val="2"/>
        <scheme val="minor"/>
      </rPr>
      <t>Black</t>
    </r>
    <r>
      <rPr>
        <sz val="10"/>
        <rFont val="Calibri"/>
        <family val="2"/>
        <scheme val="minor"/>
      </rPr>
      <t xml:space="preserve"> = calculated or text, </t>
    </r>
    <r>
      <rPr>
        <b/>
        <sz val="10"/>
        <color rgb="FF00B050"/>
        <rFont val="Calibri"/>
        <family val="2"/>
        <scheme val="minor"/>
      </rPr>
      <t>Green</t>
    </r>
    <r>
      <rPr>
        <sz val="10"/>
        <rFont val="Calibri"/>
        <family val="2"/>
        <scheme val="minor"/>
      </rPr>
      <t xml:space="preserve"> = linked</t>
    </r>
  </si>
  <si>
    <t>Boost for 9% not reinstated</t>
  </si>
  <si>
    <t>Agency-Designated Boost</t>
  </si>
  <si>
    <t>Total Credits Requested</t>
  </si>
  <si>
    <t>Units by Income Targeting:</t>
  </si>
  <si>
    <t>Type</t>
  </si>
  <si>
    <t>AMI Target</t>
  </si>
  <si>
    <t>Deferred Fee Starting Balance</t>
  </si>
  <si>
    <t>Deferred Fee Ending Balance</t>
  </si>
  <si>
    <t>Payment from Cash Flow</t>
  </si>
  <si>
    <t>(placeholder)</t>
  </si>
  <si>
    <t>Copy rows from MTSP spreadsheet for NC counties and paste entire selection into this spreadsheet starting with this Column C and continuing to Column AU</t>
  </si>
  <si>
    <t>Copy &amp; Paste should end with this Column AU</t>
  </si>
  <si>
    <t>Max rents rounded down to nearest dollar for conservatism</t>
  </si>
  <si>
    <r>
      <t>Deferred Fee Payback</t>
    </r>
    <r>
      <rPr>
        <sz val="11"/>
        <rFont val="Calibri"/>
        <family val="2"/>
        <scheme val="minor"/>
      </rPr>
      <t xml:space="preserve"> (subject to Operating Partnership waterfall)</t>
    </r>
  </si>
  <si>
    <t>Credits per unit</t>
  </si>
  <si>
    <t>Guess</t>
  </si>
  <si>
    <t>Amortizing</t>
  </si>
  <si>
    <t>Available Funds for debt service</t>
  </si>
  <si>
    <t>Notes/Comments</t>
  </si>
  <si>
    <t>See Novoco.com</t>
  </si>
  <si>
    <t>See census</t>
  </si>
  <si>
    <t>Other source</t>
  </si>
  <si>
    <t>Comment</t>
  </si>
  <si>
    <t>DHIC Loan</t>
  </si>
  <si>
    <t xml:space="preserve">         </t>
  </si>
  <si>
    <t>3.22 and 7.51 in December 2014</t>
  </si>
  <si>
    <t>Architect's Fee - Design (11+12=Mx 3% lines 2-10)</t>
  </si>
  <si>
    <t>Tax Credit Allocation Fee (% of qualified basis)</t>
  </si>
  <si>
    <t>WHLP Loan Closing Fee</t>
  </si>
  <si>
    <t>Available for debt service</t>
  </si>
  <si>
    <t>Less first mortgage</t>
  </si>
  <si>
    <t>Amount available for sub debt</t>
  </si>
  <si>
    <t>Raleigh</t>
  </si>
  <si>
    <t>27610</t>
  </si>
  <si>
    <t>City of Raleigh</t>
  </si>
  <si>
    <t>Wake County Loan</t>
  </si>
  <si>
    <t>Rent up Reserve (300 per unit minimum)</t>
  </si>
  <si>
    <t>Other Basis Expense (   )</t>
  </si>
  <si>
    <t>Tax Credit Application Fees (Preliminary $1,280 and Full $1,280)</t>
  </si>
  <si>
    <t>HUD  Enviro Review</t>
  </si>
  <si>
    <t>Construction loan</t>
  </si>
  <si>
    <t>City Amount</t>
  </si>
  <si>
    <t>County Amount</t>
  </si>
  <si>
    <t>Soil Testing/special insp during Construction</t>
  </si>
  <si>
    <t>Need this info?</t>
  </si>
  <si>
    <t>C87-93 - should these link to C9-14?</t>
  </si>
  <si>
    <t>20 yr Total</t>
  </si>
  <si>
    <t>HC Units</t>
  </si>
  <si>
    <t>2001 Booker Drive</t>
  </si>
  <si>
    <t>506</t>
  </si>
  <si>
    <t>Average rent per unit</t>
  </si>
  <si>
    <t>DHIC Model</t>
  </si>
  <si>
    <t>Developer's Fee, $13,000 per unit max or 28.5% of rehab costs, 1.7 mm max</t>
  </si>
  <si>
    <t>Operating Reserve (greater of $1,500 per unit or 4 mos. Debt + Opex)</t>
  </si>
  <si>
    <t xml:space="preserve"> </t>
  </si>
  <si>
    <t>CHC Loan Amount</t>
  </si>
  <si>
    <t>City Loan Amount</t>
  </si>
  <si>
    <t>Assumed land for 168 units</t>
  </si>
  <si>
    <t>Total land</t>
  </si>
  <si>
    <t>CHC Release amount based on $150K per acre</t>
  </si>
  <si>
    <t>Purchase price of land</t>
  </si>
  <si>
    <t>City new loan amount</t>
  </si>
  <si>
    <t>Net new City commitment</t>
  </si>
  <si>
    <t>Balance outstanding on CHC loan</t>
  </si>
  <si>
    <t>Balance outstanding on City land loan</t>
  </si>
  <si>
    <t>Difference (City payoff amount)</t>
  </si>
  <si>
    <t>Total debt remaining on land</t>
  </si>
  <si>
    <t>Approximate remaining developable acreage</t>
  </si>
  <si>
    <t>Remaining debt per acre</t>
  </si>
  <si>
    <t xml:space="preserve">Construction Loan Orig. Fee </t>
  </si>
  <si>
    <t>Washington Terrace_Bond_Family</t>
  </si>
  <si>
    <t>Wells lender</t>
  </si>
  <si>
    <t>Long-term lender</t>
  </si>
  <si>
    <t>Permanent Loan Origination Fee (1st &amp; City)</t>
  </si>
  <si>
    <t xml:space="preserve">Family Unit Mix &amp; Rent Targeting </t>
  </si>
  <si>
    <t xml:space="preserve">Perm Loan Credit Enhancement Fee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</si>
</sst>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0.000"/>
    <numFmt numFmtId="166" formatCode="_(&quot;$&quot;* #,##0.00_);_(&quot;$&quot;* \(#,##0.00\);_(&quot;$&quot;* &quot;-&quot;_);_(@_)"/>
    <numFmt numFmtId="167" formatCode="0.00_)"/>
    <numFmt numFmtId="168" formatCode="#,##0.0%_);\(#,##0.0%\)"/>
    <numFmt numFmtId="169" formatCode="&quot;$&quot;#,##0.000_);\(&quot;$&quot;#,##0.000\)"/>
    <numFmt numFmtId="170" formatCode="#,##0.00%_);\(#,##0.00%\)"/>
    <numFmt numFmtId="171" formatCode="#,##0.0_);\(#,##0.0\)"/>
    <numFmt numFmtId="172" formatCode="&quot;$&quot;#,##0.0_);\(&quot;$&quot;#,##0.0\)"/>
    <numFmt numFmtId="173" formatCode="_(&quot;$&quot;* #,##0_);_(&quot;$&quot;* \(#,##0\);_(&quot;$&quot;* &quot;-&quot;??_);_(@_)"/>
    <numFmt numFmtId="174" formatCode="#,##0%_);\(#,##0%\)"/>
    <numFmt numFmtId="175" formatCode="&quot;Year&quot;\ 0"/>
    <numFmt numFmtId="176" formatCode="0.0%"/>
    <numFmt numFmtId="177" formatCode="_-* #,##0_-;\-* #,##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1"/>
      <color rgb="FF008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8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8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/>
    <xf numFmtId="164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343">
    <xf numFmtId="0" fontId="0" fillId="0" borderId="0" xfId="0"/>
    <xf numFmtId="49" fontId="0" fillId="0" borderId="0" xfId="0" applyNumberFormat="1"/>
    <xf numFmtId="0" fontId="3" fillId="0" borderId="0" xfId="0" applyFont="1"/>
    <xf numFmtId="0" fontId="2" fillId="0" borderId="0" xfId="0" applyFont="1"/>
    <xf numFmtId="0" fontId="4" fillId="0" borderId="0" xfId="0" applyFont="1"/>
    <xf numFmtId="9" fontId="0" fillId="0" borderId="0" xfId="0" applyNumberFormat="1"/>
    <xf numFmtId="0" fontId="5" fillId="0" borderId="0" xfId="0" applyFont="1"/>
    <xf numFmtId="0" fontId="0" fillId="0" borderId="0" xfId="0" applyFill="1"/>
    <xf numFmtId="0" fontId="5" fillId="4" borderId="0" xfId="0" applyFont="1" applyFill="1"/>
    <xf numFmtId="0" fontId="2" fillId="4" borderId="0" xfId="0" applyFont="1" applyFill="1"/>
    <xf numFmtId="165" fontId="0" fillId="0" borderId="0" xfId="0" applyNumberForma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38" fontId="9" fillId="0" borderId="2" xfId="3" applyNumberFormat="1" applyFont="1" applyFill="1" applyBorder="1" applyAlignment="1">
      <alignment horizontal="left"/>
    </xf>
    <xf numFmtId="38" fontId="9" fillId="0" borderId="0" xfId="3" applyNumberFormat="1" applyFont="1" applyFill="1"/>
    <xf numFmtId="38" fontId="9" fillId="0" borderId="0" xfId="3" quotePrefix="1" applyNumberFormat="1" applyFont="1" applyFill="1" applyBorder="1" applyAlignment="1">
      <alignment horizontal="left"/>
    </xf>
    <xf numFmtId="38" fontId="9" fillId="0" borderId="0" xfId="3" applyNumberFormat="1" applyFont="1" applyFill="1" applyBorder="1"/>
    <xf numFmtId="38" fontId="7" fillId="0" borderId="2" xfId="3" applyNumberFormat="1" applyFont="1" applyFill="1" applyBorder="1" applyAlignment="1">
      <alignment horizontal="right"/>
    </xf>
    <xf numFmtId="0" fontId="9" fillId="6" borderId="0" xfId="0" applyFont="1" applyFill="1" applyAlignment="1"/>
    <xf numFmtId="0" fontId="12" fillId="0" borderId="0" xfId="0" applyFont="1"/>
    <xf numFmtId="0" fontId="13" fillId="0" borderId="0" xfId="0" applyFont="1"/>
    <xf numFmtId="0" fontId="9" fillId="3" borderId="0" xfId="0" applyFont="1" applyFill="1"/>
    <xf numFmtId="49" fontId="14" fillId="0" borderId="0" xfId="0" applyNumberFormat="1" applyFont="1" applyAlignment="1">
      <alignment horizontal="left"/>
    </xf>
    <xf numFmtId="49" fontId="14" fillId="0" borderId="0" xfId="0" quotePrefix="1" applyNumberFormat="1" applyFont="1" applyAlignment="1">
      <alignment horizontal="left"/>
    </xf>
    <xf numFmtId="49" fontId="9" fillId="0" borderId="0" xfId="0" quotePrefix="1" applyNumberFormat="1" applyFont="1" applyAlignment="1">
      <alignment horizontal="left"/>
    </xf>
    <xf numFmtId="0" fontId="14" fillId="0" borderId="0" xfId="0" applyFont="1" applyAlignment="1">
      <alignment horizontal="left"/>
    </xf>
    <xf numFmtId="2" fontId="14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left"/>
    </xf>
    <xf numFmtId="5" fontId="14" fillId="0" borderId="0" xfId="1" applyNumberFormat="1" applyFont="1" applyAlignment="1">
      <alignment horizontal="left"/>
    </xf>
    <xf numFmtId="0" fontId="18" fillId="0" borderId="0" xfId="0" applyFont="1"/>
    <xf numFmtId="0" fontId="13" fillId="0" borderId="0" xfId="0" applyFont="1" applyAlignment="1"/>
    <xf numFmtId="0" fontId="1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/>
    </xf>
    <xf numFmtId="9" fontId="14" fillId="0" borderId="2" xfId="2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42" fontId="14" fillId="0" borderId="2" xfId="0" applyNumberFormat="1" applyFont="1" applyBorder="1" applyAlignment="1">
      <alignment horizontal="center"/>
    </xf>
    <xf numFmtId="44" fontId="20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2" fontId="21" fillId="0" borderId="2" xfId="0" applyNumberFormat="1" applyFont="1" applyFill="1" applyBorder="1" applyAlignment="1">
      <alignment horizontal="center"/>
    </xf>
    <xf numFmtId="0" fontId="9" fillId="5" borderId="2" xfId="0" applyFont="1" applyFill="1" applyBorder="1"/>
    <xf numFmtId="9" fontId="14" fillId="0" borderId="0" xfId="2" applyFont="1" applyFill="1" applyAlignment="1">
      <alignment horizontal="center"/>
    </xf>
    <xf numFmtId="0" fontId="14" fillId="0" borderId="0" xfId="0" applyFont="1" applyAlignment="1">
      <alignment horizontal="center"/>
    </xf>
    <xf numFmtId="42" fontId="14" fillId="0" borderId="0" xfId="0" applyNumberFormat="1" applyFont="1" applyAlignment="1">
      <alignment horizontal="center"/>
    </xf>
    <xf numFmtId="44" fontId="20" fillId="0" borderId="0" xfId="0" applyNumberFormat="1" applyFont="1" applyBorder="1" applyAlignment="1">
      <alignment horizontal="center"/>
    </xf>
    <xf numFmtId="42" fontId="2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2" fontId="21" fillId="0" borderId="0" xfId="0" applyNumberFormat="1" applyFont="1" applyFill="1" applyAlignment="1">
      <alignment horizontal="center"/>
    </xf>
    <xf numFmtId="9" fontId="20" fillId="0" borderId="0" xfId="2" applyFont="1" applyAlignment="1">
      <alignment horizontal="center"/>
    </xf>
    <xf numFmtId="0" fontId="9" fillId="5" borderId="0" xfId="0" applyFont="1" applyFill="1"/>
    <xf numFmtId="9" fontId="9" fillId="0" borderId="0" xfId="2" applyFont="1" applyFill="1" applyAlignment="1">
      <alignment horizontal="center"/>
    </xf>
    <xf numFmtId="42" fontId="9" fillId="0" borderId="0" xfId="0" applyNumberFormat="1" applyFont="1" applyAlignment="1">
      <alignment horizontal="center"/>
    </xf>
    <xf numFmtId="0" fontId="9" fillId="0" borderId="2" xfId="0" applyFont="1" applyBorder="1"/>
    <xf numFmtId="0" fontId="9" fillId="3" borderId="1" xfId="0" applyFont="1" applyFill="1" applyBorder="1" applyAlignment="1">
      <alignment horizontal="left"/>
    </xf>
    <xf numFmtId="37" fontId="20" fillId="3" borderId="2" xfId="0" applyNumberFormat="1" applyFont="1" applyFill="1" applyBorder="1" applyAlignment="1">
      <alignment horizontal="center"/>
    </xf>
    <xf numFmtId="0" fontId="9" fillId="3" borderId="2" xfId="0" applyFont="1" applyFill="1" applyBorder="1"/>
    <xf numFmtId="0" fontId="9" fillId="3" borderId="2" xfId="0" applyFont="1" applyFill="1" applyBorder="1" applyAlignment="1">
      <alignment horizontal="right"/>
    </xf>
    <xf numFmtId="42" fontId="20" fillId="3" borderId="3" xfId="0" applyNumberFormat="1" applyFont="1" applyFill="1" applyBorder="1" applyAlignment="1">
      <alignment horizontal="center"/>
    </xf>
    <xf numFmtId="0" fontId="9" fillId="0" borderId="0" xfId="0" applyFont="1" applyFill="1"/>
    <xf numFmtId="0" fontId="9" fillId="3" borderId="4" xfId="0" applyFont="1" applyFill="1" applyBorder="1" applyAlignment="1">
      <alignment horizontal="left"/>
    </xf>
    <xf numFmtId="37" fontId="20" fillId="3" borderId="0" xfId="2" applyNumberFormat="1" applyFont="1" applyFill="1" applyBorder="1" applyAlignment="1">
      <alignment horizontal="center"/>
    </xf>
    <xf numFmtId="9" fontId="11" fillId="3" borderId="0" xfId="2" applyFont="1" applyFill="1" applyBorder="1" applyAlignment="1">
      <alignment horizontal="left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right"/>
    </xf>
    <xf numFmtId="42" fontId="20" fillId="3" borderId="5" xfId="0" applyNumberFormat="1" applyFont="1" applyFill="1" applyBorder="1" applyAlignment="1">
      <alignment horizontal="center"/>
    </xf>
    <xf numFmtId="0" fontId="9" fillId="3" borderId="5" xfId="0" applyFont="1" applyFill="1" applyBorder="1"/>
    <xf numFmtId="0" fontId="22" fillId="3" borderId="4" xfId="0" applyFont="1" applyFill="1" applyBorder="1" applyAlignment="1">
      <alignment horizontal="left"/>
    </xf>
    <xf numFmtId="37" fontId="20" fillId="3" borderId="5" xfId="0" applyNumberFormat="1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37" fontId="14" fillId="3" borderId="5" xfId="0" applyNumberFormat="1" applyFont="1" applyFill="1" applyBorder="1" applyAlignment="1">
      <alignment horizontal="center"/>
    </xf>
    <xf numFmtId="37" fontId="20" fillId="3" borderId="5" xfId="2" applyNumberFormat="1" applyFont="1" applyFill="1" applyBorder="1" applyAlignment="1">
      <alignment horizontal="center"/>
    </xf>
    <xf numFmtId="9" fontId="20" fillId="3" borderId="5" xfId="2" applyFont="1" applyFill="1" applyBorder="1" applyAlignment="1">
      <alignment horizontal="center"/>
    </xf>
    <xf numFmtId="0" fontId="9" fillId="3" borderId="6" xfId="0" applyFont="1" applyFill="1" applyBorder="1"/>
    <xf numFmtId="0" fontId="9" fillId="3" borderId="7" xfId="0" applyFont="1" applyFill="1" applyBorder="1"/>
    <xf numFmtId="0" fontId="9" fillId="3" borderId="8" xfId="0" applyFont="1" applyFill="1" applyBorder="1"/>
    <xf numFmtId="0" fontId="9" fillId="0" borderId="0" xfId="0" applyFont="1" applyFill="1" applyBorder="1"/>
    <xf numFmtId="0" fontId="21" fillId="0" borderId="0" xfId="0" applyFont="1" applyAlignment="1">
      <alignment horizontal="center"/>
    </xf>
    <xf numFmtId="9" fontId="21" fillId="0" borderId="0" xfId="0" applyNumberFormat="1" applyFont="1"/>
    <xf numFmtId="42" fontId="21" fillId="3" borderId="1" xfId="0" applyNumberFormat="1" applyFont="1" applyFill="1" applyBorder="1"/>
    <xf numFmtId="42" fontId="21" fillId="3" borderId="2" xfId="0" applyNumberFormat="1" applyFont="1" applyFill="1" applyBorder="1"/>
    <xf numFmtId="42" fontId="21" fillId="3" borderId="3" xfId="0" applyNumberFormat="1" applyFont="1" applyFill="1" applyBorder="1"/>
    <xf numFmtId="42" fontId="21" fillId="3" borderId="4" xfId="0" applyNumberFormat="1" applyFont="1" applyFill="1" applyBorder="1"/>
    <xf numFmtId="42" fontId="21" fillId="3" borderId="0" xfId="0" applyNumberFormat="1" applyFont="1" applyFill="1" applyBorder="1"/>
    <xf numFmtId="42" fontId="21" fillId="3" borderId="5" xfId="0" applyNumberFormat="1" applyFont="1" applyFill="1" applyBorder="1"/>
    <xf numFmtId="42" fontId="21" fillId="3" borderId="6" xfId="0" applyNumberFormat="1" applyFont="1" applyFill="1" applyBorder="1"/>
    <xf numFmtId="42" fontId="21" fillId="3" borderId="7" xfId="0" applyNumberFormat="1" applyFont="1" applyFill="1" applyBorder="1"/>
    <xf numFmtId="42" fontId="21" fillId="3" borderId="8" xfId="0" applyNumberFormat="1" applyFont="1" applyFill="1" applyBorder="1"/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right"/>
    </xf>
    <xf numFmtId="42" fontId="14" fillId="0" borderId="0" xfId="0" applyNumberFormat="1" applyFont="1" applyAlignment="1">
      <alignment horizontal="right"/>
    </xf>
    <xf numFmtId="42" fontId="20" fillId="0" borderId="0" xfId="0" applyNumberFormat="1" applyFont="1" applyAlignment="1">
      <alignment horizontal="right"/>
    </xf>
    <xf numFmtId="166" fontId="20" fillId="0" borderId="0" xfId="0" applyNumberFormat="1" applyFont="1" applyAlignment="1">
      <alignment horizontal="right"/>
    </xf>
    <xf numFmtId="42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42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42" fontId="20" fillId="0" borderId="0" xfId="0" applyNumberFormat="1" applyFont="1" applyFill="1" applyAlignment="1">
      <alignment horizontal="right"/>
    </xf>
    <xf numFmtId="5" fontId="14" fillId="6" borderId="0" xfId="0" applyNumberFormat="1" applyFont="1" applyFill="1" applyAlignment="1">
      <alignment horizontal="right"/>
    </xf>
    <xf numFmtId="169" fontId="14" fillId="6" borderId="0" xfId="0" applyNumberFormat="1" applyFont="1" applyFill="1" applyAlignment="1">
      <alignment horizontal="right"/>
    </xf>
    <xf numFmtId="173" fontId="23" fillId="0" borderId="0" xfId="0" applyNumberFormat="1" applyFont="1" applyAlignment="1">
      <alignment horizontal="right"/>
    </xf>
    <xf numFmtId="42" fontId="23" fillId="0" borderId="2" xfId="0" applyNumberFormat="1" applyFont="1" applyBorder="1" applyAlignment="1">
      <alignment horizontal="right"/>
    </xf>
    <xf numFmtId="166" fontId="23" fillId="0" borderId="2" xfId="0" applyNumberFormat="1" applyFont="1" applyBorder="1" applyAlignment="1">
      <alignment horizontal="right"/>
    </xf>
    <xf numFmtId="42" fontId="9" fillId="0" borderId="0" xfId="0" applyNumberFormat="1" applyFont="1" applyFill="1" applyAlignment="1">
      <alignment horizontal="right"/>
    </xf>
    <xf numFmtId="166" fontId="9" fillId="0" borderId="0" xfId="0" applyNumberFormat="1" applyFont="1" applyFill="1" applyAlignment="1">
      <alignment horizontal="right"/>
    </xf>
    <xf numFmtId="0" fontId="7" fillId="0" borderId="0" xfId="0" applyFont="1"/>
    <xf numFmtId="5" fontId="20" fillId="0" borderId="2" xfId="0" applyNumberFormat="1" applyFont="1" applyBorder="1" applyAlignment="1">
      <alignment horizontal="center"/>
    </xf>
    <xf numFmtId="5" fontId="21" fillId="0" borderId="0" xfId="0" applyNumberFormat="1" applyFont="1"/>
    <xf numFmtId="168" fontId="11" fillId="0" borderId="0" xfId="0" applyNumberFormat="1" applyFont="1"/>
    <xf numFmtId="37" fontId="14" fillId="0" borderId="4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5" fontId="20" fillId="0" borderId="0" xfId="0" applyNumberFormat="1" applyFont="1" applyBorder="1" applyAlignment="1">
      <alignment horizontal="center"/>
    </xf>
    <xf numFmtId="168" fontId="20" fillId="0" borderId="0" xfId="0" applyNumberFormat="1" applyFont="1" applyFill="1"/>
    <xf numFmtId="5" fontId="20" fillId="0" borderId="0" xfId="0" applyNumberFormat="1" applyFont="1" applyFill="1"/>
    <xf numFmtId="37" fontId="9" fillId="0" borderId="4" xfId="0" applyNumberFormat="1" applyFont="1" applyBorder="1" applyAlignment="1">
      <alignment horizontal="center"/>
    </xf>
    <xf numFmtId="5" fontId="9" fillId="0" borderId="0" xfId="0" applyNumberFormat="1" applyFont="1" applyFill="1"/>
    <xf numFmtId="5" fontId="9" fillId="0" borderId="0" xfId="0" applyNumberFormat="1" applyFont="1"/>
    <xf numFmtId="3" fontId="9" fillId="5" borderId="0" xfId="0" applyNumberFormat="1" applyFont="1" applyFill="1"/>
    <xf numFmtId="5" fontId="23" fillId="0" borderId="2" xfId="0" applyNumberFormat="1" applyFont="1" applyFill="1" applyBorder="1"/>
    <xf numFmtId="5" fontId="23" fillId="0" borderId="2" xfId="0" applyNumberFormat="1" applyFont="1" applyBorder="1"/>
    <xf numFmtId="168" fontId="25" fillId="0" borderId="2" xfId="0" applyNumberFormat="1" applyFont="1" applyBorder="1"/>
    <xf numFmtId="168" fontId="8" fillId="0" borderId="2" xfId="0" applyNumberFormat="1" applyFont="1" applyBorder="1"/>
    <xf numFmtId="0" fontId="10" fillId="0" borderId="0" xfId="0" applyFont="1" applyAlignment="1">
      <alignment horizontal="right"/>
    </xf>
    <xf numFmtId="9" fontId="14" fillId="0" borderId="0" xfId="0" applyNumberFormat="1" applyFont="1"/>
    <xf numFmtId="5" fontId="20" fillId="0" borderId="0" xfId="0" applyNumberFormat="1" applyFont="1"/>
    <xf numFmtId="5" fontId="9" fillId="0" borderId="0" xfId="0" applyNumberFormat="1" applyFont="1" applyBorder="1"/>
    <xf numFmtId="0" fontId="26" fillId="0" borderId="0" xfId="0" applyFont="1" applyAlignment="1">
      <alignment horizontal="center"/>
    </xf>
    <xf numFmtId="0" fontId="9" fillId="5" borderId="0" xfId="0" applyFont="1" applyFill="1" applyAlignment="1">
      <alignment horizontal="left"/>
    </xf>
    <xf numFmtId="42" fontId="14" fillId="0" borderId="2" xfId="0" applyNumberFormat="1" applyFont="1" applyBorder="1"/>
    <xf numFmtId="42" fontId="21" fillId="0" borderId="2" xfId="0" applyNumberFormat="1" applyFont="1" applyBorder="1"/>
    <xf numFmtId="42" fontId="20" fillId="0" borderId="2" xfId="0" applyNumberFormat="1" applyFont="1" applyBorder="1"/>
    <xf numFmtId="0" fontId="20" fillId="0" borderId="0" xfId="0" applyFont="1"/>
    <xf numFmtId="42" fontId="14" fillId="0" borderId="0" xfId="0" applyNumberFormat="1" applyFont="1"/>
    <xf numFmtId="42" fontId="21" fillId="0" borderId="0" xfId="0" applyNumberFormat="1" applyFont="1"/>
    <xf numFmtId="42" fontId="20" fillId="0" borderId="0" xfId="0" applyNumberFormat="1" applyFont="1"/>
    <xf numFmtId="42" fontId="9" fillId="0" borderId="0" xfId="0" applyNumberFormat="1" applyFont="1"/>
    <xf numFmtId="172" fontId="14" fillId="0" borderId="0" xfId="0" applyNumberFormat="1" applyFont="1"/>
    <xf numFmtId="42" fontId="21" fillId="0" borderId="0" xfId="0" applyNumberFormat="1" applyFont="1" applyFill="1"/>
    <xf numFmtId="168" fontId="14" fillId="0" borderId="0" xfId="0" applyNumberFormat="1" applyFont="1"/>
    <xf numFmtId="42" fontId="23" fillId="3" borderId="0" xfId="0" applyNumberFormat="1" applyFont="1" applyFill="1"/>
    <xf numFmtId="42" fontId="27" fillId="3" borderId="0" xfId="0" applyNumberFormat="1" applyFont="1" applyFill="1"/>
    <xf numFmtId="0" fontId="7" fillId="3" borderId="0" xfId="0" applyFont="1" applyFill="1"/>
    <xf numFmtId="9" fontId="13" fillId="0" borderId="0" xfId="0" applyNumberFormat="1" applyFont="1"/>
    <xf numFmtId="0" fontId="20" fillId="6" borderId="0" xfId="0" applyFont="1" applyFill="1" applyAlignment="1">
      <alignment horizontal="right"/>
    </xf>
    <xf numFmtId="0" fontId="22" fillId="6" borderId="0" xfId="0" applyFont="1" applyFill="1" applyAlignment="1">
      <alignment horizontal="center"/>
    </xf>
    <xf numFmtId="9" fontId="22" fillId="6" borderId="0" xfId="0" applyNumberFormat="1" applyFont="1" applyFill="1" applyAlignment="1">
      <alignment horizontal="center"/>
    </xf>
    <xf numFmtId="42" fontId="9" fillId="0" borderId="0" xfId="0" applyNumberFormat="1" applyFont="1" applyFill="1"/>
    <xf numFmtId="5" fontId="20" fillId="6" borderId="0" xfId="0" applyNumberFormat="1" applyFont="1" applyFill="1" applyAlignment="1">
      <alignment horizontal="right"/>
    </xf>
    <xf numFmtId="168" fontId="14" fillId="6" borderId="0" xfId="0" applyNumberFormat="1" applyFont="1" applyFill="1" applyAlignment="1">
      <alignment horizontal="center"/>
    </xf>
    <xf numFmtId="5" fontId="20" fillId="6" borderId="0" xfId="0" applyNumberFormat="1" applyFont="1" applyFill="1"/>
    <xf numFmtId="0" fontId="14" fillId="6" borderId="0" xfId="0" applyFont="1" applyFill="1" applyAlignment="1">
      <alignment horizontal="left"/>
    </xf>
    <xf numFmtId="0" fontId="9" fillId="6" borderId="0" xfId="0" applyFont="1" applyFill="1" applyAlignment="1">
      <alignment horizontal="left"/>
    </xf>
    <xf numFmtId="0" fontId="9" fillId="6" borderId="0" xfId="0" applyFont="1" applyFill="1"/>
    <xf numFmtId="9" fontId="14" fillId="6" borderId="0" xfId="0" applyNumberFormat="1" applyFont="1" applyFill="1" applyAlignment="1">
      <alignment horizontal="left"/>
    </xf>
    <xf numFmtId="9" fontId="20" fillId="6" borderId="0" xfId="0" applyNumberFormat="1" applyFont="1" applyFill="1" applyAlignment="1">
      <alignment horizontal="center"/>
    </xf>
    <xf numFmtId="5" fontId="14" fillId="6" borderId="0" xfId="0" applyNumberFormat="1" applyFont="1" applyFill="1"/>
    <xf numFmtId="169" fontId="14" fillId="6" borderId="0" xfId="0" applyNumberFormat="1" applyFont="1" applyFill="1"/>
    <xf numFmtId="171" fontId="14" fillId="6" borderId="0" xfId="0" applyNumberFormat="1" applyFont="1" applyFill="1"/>
    <xf numFmtId="172" fontId="14" fillId="6" borderId="0" xfId="0" applyNumberFormat="1" applyFont="1" applyFill="1" applyAlignment="1"/>
    <xf numFmtId="172" fontId="21" fillId="6" borderId="0" xfId="0" applyNumberFormat="1" applyFont="1" applyFill="1"/>
    <xf numFmtId="42" fontId="14" fillId="6" borderId="0" xfId="0" applyNumberFormat="1" applyFont="1" applyFill="1"/>
    <xf numFmtId="42" fontId="14" fillId="0" borderId="0" xfId="1" applyNumberFormat="1" applyFont="1"/>
    <xf numFmtId="42" fontId="20" fillId="0" borderId="0" xfId="1" applyNumberFormat="1" applyFont="1"/>
    <xf numFmtId="42" fontId="9" fillId="3" borderId="0" xfId="1" applyNumberFormat="1" applyFont="1" applyFill="1"/>
    <xf numFmtId="172" fontId="9" fillId="0" borderId="0" xfId="0" applyNumberFormat="1" applyFont="1"/>
    <xf numFmtId="42" fontId="9" fillId="0" borderId="0" xfId="1" applyNumberFormat="1" applyFont="1"/>
    <xf numFmtId="172" fontId="14" fillId="6" borderId="0" xfId="0" applyNumberFormat="1" applyFont="1" applyFill="1" applyAlignment="1">
      <alignment horizontal="right"/>
    </xf>
    <xf numFmtId="172" fontId="20" fillId="6" borderId="0" xfId="0" applyNumberFormat="1" applyFont="1" applyFill="1"/>
    <xf numFmtId="10" fontId="14" fillId="0" borderId="0" xfId="0" applyNumberFormat="1" applyFont="1"/>
    <xf numFmtId="42" fontId="20" fillId="0" borderId="0" xfId="0" applyNumberFormat="1" applyFont="1" applyFill="1"/>
    <xf numFmtId="42" fontId="9" fillId="3" borderId="0" xfId="0" applyNumberFormat="1" applyFont="1" applyFill="1"/>
    <xf numFmtId="173" fontId="23" fillId="0" borderId="0" xfId="0" applyNumberFormat="1" applyFont="1"/>
    <xf numFmtId="173" fontId="23" fillId="3" borderId="0" xfId="0" applyNumberFormat="1" applyFont="1" applyFill="1"/>
    <xf numFmtId="170" fontId="14" fillId="0" borderId="0" xfId="0" applyNumberFormat="1" applyFont="1"/>
    <xf numFmtId="44" fontId="20" fillId="0" borderId="0" xfId="0" applyNumberFormat="1" applyFont="1"/>
    <xf numFmtId="173" fontId="20" fillId="0" borderId="0" xfId="0" applyNumberFormat="1" applyFont="1"/>
    <xf numFmtId="42" fontId="24" fillId="3" borderId="0" xfId="0" applyNumberFormat="1" applyFont="1" applyFill="1"/>
    <xf numFmtId="0" fontId="7" fillId="3" borderId="2" xfId="0" applyFont="1" applyFill="1" applyBorder="1" applyAlignment="1">
      <alignment horizontal="right"/>
    </xf>
    <xf numFmtId="0" fontId="7" fillId="0" borderId="2" xfId="0" applyFont="1" applyBorder="1"/>
    <xf numFmtId="175" fontId="24" fillId="0" borderId="0" xfId="0" applyNumberFormat="1" applyFont="1" applyAlignment="1">
      <alignment horizontal="center"/>
    </xf>
    <xf numFmtId="175" fontId="23" fillId="0" borderId="0" xfId="0" applyNumberFormat="1" applyFont="1" applyAlignment="1">
      <alignment horizontal="center"/>
    </xf>
    <xf numFmtId="175" fontId="9" fillId="0" borderId="2" xfId="0" applyNumberFormat="1" applyFont="1" applyBorder="1"/>
    <xf numFmtId="5" fontId="20" fillId="0" borderId="2" xfId="0" applyNumberFormat="1" applyFont="1" applyBorder="1"/>
    <xf numFmtId="0" fontId="9" fillId="0" borderId="0" xfId="0" applyFont="1" applyBorder="1"/>
    <xf numFmtId="168" fontId="20" fillId="0" borderId="0" xfId="0" applyNumberFormat="1" applyFont="1"/>
    <xf numFmtId="0" fontId="7" fillId="3" borderId="2" xfId="0" applyFont="1" applyFill="1" applyBorder="1"/>
    <xf numFmtId="5" fontId="23" fillId="3" borderId="2" xfId="0" applyNumberFormat="1" applyFont="1" applyFill="1" applyBorder="1"/>
    <xf numFmtId="0" fontId="14" fillId="0" borderId="0" xfId="0" applyNumberFormat="1" applyFont="1"/>
    <xf numFmtId="0" fontId="22" fillId="0" borderId="0" xfId="0" applyFont="1"/>
    <xf numFmtId="38" fontId="21" fillId="0" borderId="0" xfId="0" applyNumberFormat="1" applyFont="1"/>
    <xf numFmtId="39" fontId="20" fillId="3" borderId="0" xfId="0" applyNumberFormat="1" applyFont="1" applyFill="1"/>
    <xf numFmtId="0" fontId="28" fillId="0" borderId="0" xfId="0" applyFont="1"/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49" fontId="27" fillId="2" borderId="0" xfId="0" applyNumberFormat="1" applyFont="1" applyFill="1" applyBorder="1" applyAlignment="1">
      <alignment horizontal="center"/>
    </xf>
    <xf numFmtId="49" fontId="27" fillId="2" borderId="5" xfId="0" applyNumberFormat="1" applyFont="1" applyFill="1" applyBorder="1" applyAlignment="1">
      <alignment horizontal="center"/>
    </xf>
    <xf numFmtId="49" fontId="23" fillId="3" borderId="0" xfId="0" applyNumberFormat="1" applyFont="1" applyFill="1" applyBorder="1" applyAlignment="1">
      <alignment horizontal="center"/>
    </xf>
    <xf numFmtId="49" fontId="23" fillId="3" borderId="5" xfId="0" applyNumberFormat="1" applyFont="1" applyFill="1" applyBorder="1" applyAlignment="1">
      <alignment horizontal="center"/>
    </xf>
    <xf numFmtId="49" fontId="23" fillId="2" borderId="0" xfId="0" applyNumberFormat="1" applyFont="1" applyFill="1" applyBorder="1" applyAlignment="1">
      <alignment horizontal="center"/>
    </xf>
    <xf numFmtId="49" fontId="23" fillId="2" borderId="5" xfId="0" applyNumberFormat="1" applyFont="1" applyFill="1" applyBorder="1" applyAlignment="1">
      <alignment horizontal="center"/>
    </xf>
    <xf numFmtId="42" fontId="21" fillId="2" borderId="4" xfId="0" applyNumberFormat="1" applyFont="1" applyFill="1" applyBorder="1"/>
    <xf numFmtId="42" fontId="21" fillId="2" borderId="0" xfId="0" applyNumberFormat="1" applyFont="1" applyFill="1" applyBorder="1"/>
    <xf numFmtId="42" fontId="21" fillId="2" borderId="5" xfId="0" applyNumberFormat="1" applyFont="1" applyFill="1" applyBorder="1"/>
    <xf numFmtId="42" fontId="20" fillId="3" borderId="4" xfId="0" applyNumberFormat="1" applyFont="1" applyFill="1" applyBorder="1"/>
    <xf numFmtId="42" fontId="20" fillId="3" borderId="0" xfId="0" applyNumberFormat="1" applyFont="1" applyFill="1" applyBorder="1"/>
    <xf numFmtId="42" fontId="20" fillId="3" borderId="5" xfId="0" applyNumberFormat="1" applyFont="1" applyFill="1" applyBorder="1"/>
    <xf numFmtId="42" fontId="20" fillId="2" borderId="4" xfId="0" applyNumberFormat="1" applyFont="1" applyFill="1" applyBorder="1"/>
    <xf numFmtId="42" fontId="20" fillId="2" borderId="0" xfId="0" applyNumberFormat="1" applyFont="1" applyFill="1" applyBorder="1"/>
    <xf numFmtId="42" fontId="20" fillId="2" borderId="5" xfId="0" applyNumberFormat="1" applyFont="1" applyFill="1" applyBorder="1"/>
    <xf numFmtId="42" fontId="21" fillId="2" borderId="6" xfId="0" applyNumberFormat="1" applyFont="1" applyFill="1" applyBorder="1"/>
    <xf numFmtId="42" fontId="21" fillId="2" borderId="7" xfId="0" applyNumberFormat="1" applyFont="1" applyFill="1" applyBorder="1"/>
    <xf numFmtId="42" fontId="21" fillId="2" borderId="8" xfId="0" applyNumberFormat="1" applyFont="1" applyFill="1" applyBorder="1"/>
    <xf numFmtId="42" fontId="20" fillId="3" borderId="6" xfId="0" applyNumberFormat="1" applyFont="1" applyFill="1" applyBorder="1"/>
    <xf numFmtId="42" fontId="20" fillId="3" borderId="7" xfId="0" applyNumberFormat="1" applyFont="1" applyFill="1" applyBorder="1"/>
    <xf numFmtId="42" fontId="20" fillId="3" borderId="8" xfId="0" applyNumberFormat="1" applyFont="1" applyFill="1" applyBorder="1"/>
    <xf numFmtId="42" fontId="20" fillId="2" borderId="6" xfId="0" applyNumberFormat="1" applyFont="1" applyFill="1" applyBorder="1"/>
    <xf numFmtId="42" fontId="20" fillId="2" borderId="7" xfId="0" applyNumberFormat="1" applyFont="1" applyFill="1" applyBorder="1"/>
    <xf numFmtId="42" fontId="20" fillId="2" borderId="8" xfId="0" applyNumberFormat="1" applyFont="1" applyFill="1" applyBorder="1"/>
    <xf numFmtId="0" fontId="7" fillId="3" borderId="0" xfId="0" applyFont="1" applyFill="1" applyBorder="1"/>
    <xf numFmtId="5" fontId="21" fillId="3" borderId="0" xfId="0" applyNumberFormat="1" applyFont="1" applyFill="1" applyBorder="1"/>
    <xf numFmtId="7" fontId="21" fillId="3" borderId="0" xfId="0" applyNumberFormat="1" applyFont="1" applyFill="1" applyBorder="1"/>
    <xf numFmtId="0" fontId="9" fillId="0" borderId="0" xfId="0" applyFont="1" applyAlignment="1">
      <alignment horizontal="left"/>
    </xf>
    <xf numFmtId="0" fontId="9" fillId="6" borderId="0" xfId="0" applyFont="1" applyFill="1" applyAlignment="1">
      <alignment horizontal="left" indent="2"/>
    </xf>
    <xf numFmtId="0" fontId="9" fillId="0" borderId="0" xfId="0" applyFont="1" applyFill="1" applyAlignment="1">
      <alignment horizontal="left"/>
    </xf>
    <xf numFmtId="0" fontId="9" fillId="0" borderId="0" xfId="0" quotePrefix="1" applyFont="1" applyFill="1"/>
    <xf numFmtId="0" fontId="13" fillId="0" borderId="0" xfId="0" applyFont="1" applyFill="1"/>
    <xf numFmtId="174" fontId="21" fillId="0" borderId="0" xfId="2" applyNumberFormat="1" applyFont="1" applyFill="1"/>
    <xf numFmtId="44" fontId="9" fillId="0" borderId="0" xfId="0" applyNumberFormat="1" applyFont="1"/>
    <xf numFmtId="173" fontId="20" fillId="0" borderId="2" xfId="0" applyNumberFormat="1" applyFont="1" applyBorder="1"/>
    <xf numFmtId="42" fontId="9" fillId="0" borderId="0" xfId="0" quotePrefix="1" applyNumberFormat="1" applyFont="1" applyFill="1"/>
    <xf numFmtId="42" fontId="14" fillId="0" borderId="0" xfId="0" applyNumberFormat="1" applyFont="1" applyFill="1"/>
    <xf numFmtId="174" fontId="14" fillId="0" borderId="0" xfId="0" applyNumberFormat="1" applyFont="1" applyFill="1"/>
    <xf numFmtId="9" fontId="21" fillId="3" borderId="4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9" fontId="10" fillId="3" borderId="0" xfId="2" applyFont="1" applyFill="1" applyBorder="1" applyAlignment="1">
      <alignment horizontal="left"/>
    </xf>
    <xf numFmtId="9" fontId="9" fillId="3" borderId="5" xfId="2" applyFont="1" applyFill="1" applyBorder="1" applyAlignment="1">
      <alignment horizontal="center"/>
    </xf>
    <xf numFmtId="42" fontId="14" fillId="0" borderId="0" xfId="0" applyNumberFormat="1" applyFont="1" applyFill="1" applyAlignment="1">
      <alignment horizontal="right"/>
    </xf>
    <xf numFmtId="38" fontId="10" fillId="0" borderId="0" xfId="0" applyNumberFormat="1" applyFont="1"/>
    <xf numFmtId="0" fontId="29" fillId="0" borderId="0" xfId="0" applyFont="1"/>
    <xf numFmtId="173" fontId="9" fillId="0" borderId="0" xfId="0" applyNumberFormat="1" applyFont="1"/>
    <xf numFmtId="173" fontId="27" fillId="3" borderId="2" xfId="1" applyNumberFormat="1" applyFont="1" applyFill="1" applyBorder="1"/>
    <xf numFmtId="168" fontId="14" fillId="0" borderId="0" xfId="0" applyNumberFormat="1" applyFont="1" applyAlignment="1">
      <alignment horizontal="right"/>
    </xf>
    <xf numFmtId="5" fontId="9" fillId="0" borderId="0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0" fillId="0" borderId="0" xfId="11"/>
    <xf numFmtId="0" fontId="32" fillId="0" borderId="0" xfId="0" applyFont="1"/>
    <xf numFmtId="176" fontId="14" fillId="0" borderId="0" xfId="0" applyNumberFormat="1" applyFont="1" applyBorder="1" applyAlignment="1">
      <alignment horizontal="center"/>
    </xf>
    <xf numFmtId="5" fontId="14" fillId="0" borderId="0" xfId="0" applyNumberFormat="1" applyFont="1" applyBorder="1"/>
    <xf numFmtId="0" fontId="36" fillId="0" borderId="0" xfId="0" applyFont="1"/>
    <xf numFmtId="5" fontId="0" fillId="0" borderId="0" xfId="0" applyNumberFormat="1"/>
    <xf numFmtId="38" fontId="37" fillId="0" borderId="0" xfId="0" applyNumberFormat="1" applyFont="1"/>
    <xf numFmtId="0" fontId="38" fillId="0" borderId="0" xfId="0" applyFont="1"/>
    <xf numFmtId="5" fontId="14" fillId="0" borderId="0" xfId="0" applyNumberFormat="1" applyFont="1"/>
    <xf numFmtId="0" fontId="33" fillId="0" borderId="0" xfId="0" applyFont="1" applyBorder="1" applyAlignment="1">
      <alignment horizontal="center"/>
    </xf>
    <xf numFmtId="0" fontId="32" fillId="0" borderId="0" xfId="0" applyFont="1" applyBorder="1"/>
    <xf numFmtId="0" fontId="32" fillId="0" borderId="0" xfId="0" quotePrefix="1" applyFont="1" applyFill="1" applyBorder="1"/>
    <xf numFmtId="42" fontId="23" fillId="0" borderId="0" xfId="0" applyNumberFormat="1" applyFont="1" applyBorder="1" applyAlignment="1">
      <alignment horizontal="right"/>
    </xf>
    <xf numFmtId="0" fontId="0" fillId="0" borderId="0" xfId="0" applyBorder="1"/>
    <xf numFmtId="173" fontId="23" fillId="0" borderId="0" xfId="0" applyNumberFormat="1" applyFont="1" applyBorder="1" applyAlignment="1">
      <alignment horizontal="right"/>
    </xf>
    <xf numFmtId="9" fontId="9" fillId="0" borderId="0" xfId="2" applyFont="1"/>
    <xf numFmtId="42" fontId="20" fillId="0" borderId="0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4" fontId="9" fillId="0" borderId="0" xfId="0" applyNumberFormat="1" applyFont="1" applyAlignment="1">
      <alignment horizontal="left"/>
    </xf>
    <xf numFmtId="176" fontId="20" fillId="6" borderId="0" xfId="0" applyNumberFormat="1" applyFont="1" applyFill="1" applyAlignment="1">
      <alignment horizontal="center"/>
    </xf>
    <xf numFmtId="170" fontId="14" fillId="6" borderId="0" xfId="0" applyNumberFormat="1" applyFont="1" applyFill="1" applyAlignment="1">
      <alignment horizontal="center"/>
    </xf>
    <xf numFmtId="4" fontId="9" fillId="5" borderId="0" xfId="4" applyNumberFormat="1" applyFont="1" applyFill="1" applyAlignment="1">
      <alignment horizontal="left"/>
    </xf>
    <xf numFmtId="0" fontId="40" fillId="5" borderId="0" xfId="0" applyFont="1" applyFill="1"/>
    <xf numFmtId="0" fontId="39" fillId="4" borderId="0" xfId="0" applyFont="1" applyFill="1"/>
    <xf numFmtId="172" fontId="23" fillId="3" borderId="0" xfId="0" applyNumberFormat="1" applyFont="1" applyFill="1"/>
    <xf numFmtId="165" fontId="9" fillId="0" borderId="0" xfId="0" applyNumberFormat="1" applyFont="1"/>
    <xf numFmtId="7" fontId="9" fillId="0" borderId="0" xfId="0" applyNumberFormat="1" applyFont="1" applyAlignment="1">
      <alignment horizontal="left"/>
    </xf>
    <xf numFmtId="10" fontId="9" fillId="3" borderId="0" xfId="0" applyNumberFormat="1" applyFont="1" applyFill="1" applyBorder="1"/>
    <xf numFmtId="4" fontId="9" fillId="5" borderId="7" xfId="4" applyNumberFormat="1" applyFont="1" applyFill="1" applyBorder="1" applyAlignment="1">
      <alignment horizontal="left"/>
    </xf>
    <xf numFmtId="42" fontId="14" fillId="7" borderId="0" xfId="0" applyNumberFormat="1" applyFont="1" applyFill="1"/>
    <xf numFmtId="42" fontId="20" fillId="7" borderId="0" xfId="0" applyNumberFormat="1" applyFont="1" applyFill="1"/>
    <xf numFmtId="173" fontId="9" fillId="0" borderId="0" xfId="1" applyNumberFormat="1" applyFont="1"/>
    <xf numFmtId="5" fontId="14" fillId="7" borderId="0" xfId="0" applyNumberFormat="1" applyFont="1" applyFill="1" applyBorder="1"/>
    <xf numFmtId="5" fontId="21" fillId="7" borderId="2" xfId="0" applyNumberFormat="1" applyFont="1" applyFill="1" applyBorder="1"/>
    <xf numFmtId="168" fontId="11" fillId="7" borderId="2" xfId="0" applyNumberFormat="1" applyFont="1" applyFill="1" applyBorder="1"/>
    <xf numFmtId="37" fontId="14" fillId="7" borderId="1" xfId="0" applyNumberFormat="1" applyFont="1" applyFill="1" applyBorder="1" applyAlignment="1">
      <alignment horizontal="center"/>
    </xf>
    <xf numFmtId="10" fontId="14" fillId="7" borderId="2" xfId="0" applyNumberFormat="1" applyFont="1" applyFill="1" applyBorder="1" applyAlignment="1">
      <alignment horizontal="center"/>
    </xf>
    <xf numFmtId="0" fontId="9" fillId="5" borderId="0" xfId="0" applyFont="1" applyFill="1" applyBorder="1"/>
    <xf numFmtId="0" fontId="9" fillId="5" borderId="0" xfId="0" applyFont="1" applyFill="1" applyBorder="1" applyAlignment="1">
      <alignment horizontal="center"/>
    </xf>
    <xf numFmtId="0" fontId="41" fillId="0" borderId="0" xfId="0" applyFont="1"/>
    <xf numFmtId="9" fontId="20" fillId="7" borderId="2" xfId="2" applyFont="1" applyFill="1" applyBorder="1" applyAlignment="1">
      <alignment horizontal="center"/>
    </xf>
    <xf numFmtId="9" fontId="20" fillId="7" borderId="0" xfId="2" applyFont="1" applyFill="1" applyAlignment="1">
      <alignment horizontal="center"/>
    </xf>
    <xf numFmtId="42" fontId="14" fillId="4" borderId="0" xfId="0" applyNumberFormat="1" applyFont="1" applyFill="1"/>
    <xf numFmtId="0" fontId="14" fillId="7" borderId="0" xfId="0" applyFont="1" applyFill="1" applyBorder="1" applyAlignment="1">
      <alignment horizontal="center"/>
    </xf>
    <xf numFmtId="177" fontId="0" fillId="0" borderId="0" xfId="4" applyNumberFormat="1" applyFont="1"/>
    <xf numFmtId="177" fontId="0" fillId="0" borderId="0" xfId="0" applyNumberFormat="1"/>
    <xf numFmtId="7" fontId="20" fillId="0" borderId="0" xfId="0" applyNumberFormat="1" applyFont="1"/>
    <xf numFmtId="42" fontId="14" fillId="8" borderId="0" xfId="0" applyNumberFormat="1" applyFont="1" applyFill="1"/>
    <xf numFmtId="0" fontId="32" fillId="0" borderId="0" xfId="0" applyFont="1" applyAlignment="1">
      <alignment horizontal="center"/>
    </xf>
    <xf numFmtId="42" fontId="32" fillId="0" borderId="0" xfId="0" applyNumberFormat="1" applyFont="1" applyAlignment="1">
      <alignment horizontal="center"/>
    </xf>
    <xf numFmtId="172" fontId="20" fillId="0" borderId="0" xfId="0" applyNumberFormat="1" applyFont="1" applyFill="1"/>
    <xf numFmtId="42" fontId="9" fillId="4" borderId="0" xfId="0" applyNumberFormat="1" applyFont="1" applyFill="1"/>
    <xf numFmtId="0" fontId="9" fillId="0" borderId="0" xfId="0" applyFont="1" applyAlignment="1">
      <alignment horizontal="left"/>
    </xf>
    <xf numFmtId="0" fontId="22" fillId="6" borderId="0" xfId="0" applyFont="1" applyFill="1" applyAlignment="1">
      <alignment horizontal="left" indent="1"/>
    </xf>
    <xf numFmtId="38" fontId="20" fillId="6" borderId="0" xfId="0" applyNumberFormat="1" applyFont="1" applyFill="1" applyAlignment="1">
      <alignment horizontal="left" indent="2"/>
    </xf>
    <xf numFmtId="38" fontId="9" fillId="6" borderId="0" xfId="0" applyNumberFormat="1" applyFont="1" applyFill="1" applyAlignment="1">
      <alignment horizontal="left" indent="2"/>
    </xf>
    <xf numFmtId="0" fontId="23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9" fillId="6" borderId="0" xfId="0" applyFont="1" applyFill="1" applyAlignment="1">
      <alignment horizontal="left" indent="2"/>
    </xf>
    <xf numFmtId="0" fontId="9" fillId="6" borderId="0" xfId="0" applyFont="1" applyFill="1" applyAlignment="1">
      <alignment horizontal="left" indent="1"/>
    </xf>
    <xf numFmtId="0" fontId="22" fillId="0" borderId="0" xfId="0" applyFont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2" xfId="0" applyFont="1" applyBorder="1" applyAlignment="1">
      <alignment horizontal="left"/>
    </xf>
    <xf numFmtId="5" fontId="20" fillId="6" borderId="0" xfId="0" applyNumberFormat="1" applyFont="1" applyFill="1" applyAlignment="1">
      <alignment horizontal="left" indent="2"/>
    </xf>
    <xf numFmtId="0" fontId="7" fillId="0" borderId="0" xfId="0" applyFont="1" applyAlignment="1">
      <alignment horizontal="left"/>
    </xf>
    <xf numFmtId="0" fontId="22" fillId="0" borderId="0" xfId="0" applyFont="1" applyAlignment="1">
      <alignment horizontal="right" vertical="center" textRotation="90"/>
    </xf>
    <xf numFmtId="0" fontId="7" fillId="0" borderId="2" xfId="0" applyFont="1" applyBorder="1" applyAlignment="1">
      <alignment horizontal="left"/>
    </xf>
    <xf numFmtId="0" fontId="9" fillId="0" borderId="0" xfId="0" applyFont="1" applyAlignment="1">
      <alignment horizontal="left" indent="1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Alignment="1">
      <alignment horizontal="left" indent="1"/>
    </xf>
    <xf numFmtId="0" fontId="7" fillId="0" borderId="2" xfId="0" applyFont="1" applyBorder="1" applyAlignment="1">
      <alignment horizontal="left" wrapText="1"/>
    </xf>
    <xf numFmtId="0" fontId="9" fillId="0" borderId="0" xfId="0" applyFont="1" applyAlignment="1">
      <alignment horizontal="left" indent="2"/>
    </xf>
    <xf numFmtId="0" fontId="22" fillId="3" borderId="1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</cellXfs>
  <cellStyles count="12">
    <cellStyle name="Comma" xfId="4" builtinId="3"/>
    <cellStyle name="Currency" xfId="1" builtinId="4"/>
    <cellStyle name="Followed Hyperlink" xfId="6" builtinId="9" hidden="1"/>
    <cellStyle name="Followed Hyperlink" xfId="8" builtinId="9" hidden="1"/>
    <cellStyle name="Followed Hyperlink" xfId="1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_GREENVILLE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actfinder2.census.gov/faces/nav/jsf/pages/index.xhtml" TargetMode="External"/><Relationship Id="rId1" Type="http://schemas.openxmlformats.org/officeDocument/2006/relationships/hyperlink" Target="http://www.novoco.com/low_income_housing/facts_figures/tax_credit_2014.php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G33"/>
  <sheetViews>
    <sheetView view="pageBreakPreview" zoomScaleNormal="100" zoomScaleSheetLayoutView="100" workbookViewId="0">
      <selection activeCell="D8" sqref="D8"/>
    </sheetView>
  </sheetViews>
  <sheetFormatPr defaultColWidth="8.85546875" defaultRowHeight="15" x14ac:dyDescent="0.25"/>
  <cols>
    <col min="2" max="2" width="3.28515625" customWidth="1"/>
    <col min="3" max="3" width="26.85546875" bestFit="1" customWidth="1"/>
    <col min="4" max="4" width="33.42578125" customWidth="1"/>
    <col min="5" max="5" width="28.28515625" customWidth="1"/>
  </cols>
  <sheetData>
    <row r="2" spans="2:7" ht="18.95" x14ac:dyDescent="0.25">
      <c r="B2" s="195" t="str">
        <f>""&amp;D7&amp;", "&amp;D9&amp;", "&amp;D10</f>
        <v>Washington Terrace_Bond_Family, Raleigh, Wake County</v>
      </c>
      <c r="C2" s="11"/>
      <c r="D2" s="11"/>
    </row>
    <row r="3" spans="2:7" ht="18.75" x14ac:dyDescent="0.3">
      <c r="B3" s="21"/>
      <c r="C3" s="11"/>
      <c r="D3" s="11"/>
      <c r="G3" s="263"/>
    </row>
    <row r="4" spans="2:7" ht="18.75" x14ac:dyDescent="0.3">
      <c r="B4" s="21" t="s">
        <v>42</v>
      </c>
      <c r="C4" s="11"/>
      <c r="D4" s="11"/>
      <c r="G4" s="263"/>
    </row>
    <row r="5" spans="2:7" s="6" customFormat="1" ht="12.75" x14ac:dyDescent="0.2">
      <c r="B5" s="22" t="s">
        <v>682</v>
      </c>
      <c r="C5" s="22"/>
      <c r="D5" s="22"/>
      <c r="E5" s="6" t="s">
        <v>701</v>
      </c>
      <c r="G5" s="266"/>
    </row>
    <row r="6" spans="2:7" x14ac:dyDescent="0.25">
      <c r="B6" s="11"/>
      <c r="C6" s="11"/>
      <c r="D6" s="11"/>
      <c r="G6" s="263"/>
    </row>
    <row r="7" spans="2:7" x14ac:dyDescent="0.2">
      <c r="B7" s="11"/>
      <c r="C7" s="23" t="s">
        <v>0</v>
      </c>
      <c r="D7" s="238" t="s">
        <v>753</v>
      </c>
      <c r="E7" t="s">
        <v>734</v>
      </c>
    </row>
    <row r="8" spans="2:7" x14ac:dyDescent="0.2">
      <c r="B8" s="11"/>
      <c r="C8" s="23" t="s">
        <v>3</v>
      </c>
      <c r="D8" s="238" t="s">
        <v>731</v>
      </c>
    </row>
    <row r="9" spans="2:7" x14ac:dyDescent="0.2">
      <c r="B9" s="11"/>
      <c r="C9" s="23" t="s">
        <v>1</v>
      </c>
      <c r="D9" s="238" t="s">
        <v>715</v>
      </c>
    </row>
    <row r="10" spans="2:7" x14ac:dyDescent="0.2">
      <c r="B10" s="11"/>
      <c r="C10" s="23" t="s">
        <v>2</v>
      </c>
      <c r="D10" s="240" t="s">
        <v>134</v>
      </c>
    </row>
    <row r="11" spans="2:7" x14ac:dyDescent="0.2">
      <c r="B11" s="11"/>
      <c r="C11" s="23" t="s">
        <v>4</v>
      </c>
      <c r="D11" s="24" t="s">
        <v>716</v>
      </c>
    </row>
    <row r="12" spans="2:7" x14ac:dyDescent="0.2">
      <c r="B12" s="11"/>
      <c r="C12" s="23" t="s">
        <v>5</v>
      </c>
      <c r="D12" s="25" t="s">
        <v>732</v>
      </c>
      <c r="E12" s="262" t="s">
        <v>703</v>
      </c>
    </row>
    <row r="13" spans="2:7" x14ac:dyDescent="0.2">
      <c r="B13" s="11"/>
      <c r="C13" s="23" t="s">
        <v>8</v>
      </c>
      <c r="D13" s="26" t="s">
        <v>9</v>
      </c>
      <c r="E13" s="262" t="s">
        <v>702</v>
      </c>
    </row>
    <row r="14" spans="2:7" x14ac:dyDescent="0.2">
      <c r="B14" s="11"/>
      <c r="C14" s="23"/>
      <c r="D14" s="238"/>
    </row>
    <row r="15" spans="2:7" x14ac:dyDescent="0.2">
      <c r="B15" s="11"/>
      <c r="C15" s="23" t="s">
        <v>6</v>
      </c>
      <c r="D15" s="238" t="s">
        <v>7</v>
      </c>
    </row>
    <row r="16" spans="2:7" x14ac:dyDescent="0.25">
      <c r="B16" s="11"/>
      <c r="C16" s="23" t="s">
        <v>11</v>
      </c>
      <c r="D16" s="238" t="s">
        <v>16</v>
      </c>
    </row>
    <row r="17" spans="2:5" x14ac:dyDescent="0.25">
      <c r="B17" s="11"/>
      <c r="C17" s="23" t="s">
        <v>22</v>
      </c>
      <c r="D17" s="238" t="s">
        <v>10</v>
      </c>
    </row>
    <row r="18" spans="2:5" x14ac:dyDescent="0.25">
      <c r="B18" s="11"/>
      <c r="C18" s="23" t="s">
        <v>23</v>
      </c>
      <c r="D18" s="238"/>
    </row>
    <row r="19" spans="2:5" x14ac:dyDescent="0.25">
      <c r="B19" s="11"/>
      <c r="C19" s="23"/>
      <c r="D19" s="238"/>
    </row>
    <row r="20" spans="2:5" x14ac:dyDescent="0.25">
      <c r="B20" s="11"/>
      <c r="C20" s="23" t="s">
        <v>24</v>
      </c>
      <c r="D20" s="27">
        <v>8.43</v>
      </c>
    </row>
    <row r="21" spans="2:5" x14ac:dyDescent="0.25">
      <c r="B21" s="11"/>
      <c r="C21" s="23" t="s">
        <v>25</v>
      </c>
      <c r="D21" s="28">
        <v>8.43</v>
      </c>
    </row>
    <row r="22" spans="2:5" x14ac:dyDescent="0.25">
      <c r="B22" s="11"/>
      <c r="C22" s="23"/>
      <c r="D22" s="238"/>
    </row>
    <row r="23" spans="2:5" x14ac:dyDescent="0.25">
      <c r="B23" s="11"/>
      <c r="C23" s="23" t="s">
        <v>27</v>
      </c>
      <c r="D23" s="29" t="s">
        <v>30</v>
      </c>
    </row>
    <row r="24" spans="2:5" x14ac:dyDescent="0.25">
      <c r="B24" s="11"/>
      <c r="C24" s="23" t="s">
        <v>28</v>
      </c>
      <c r="D24" s="29"/>
    </row>
    <row r="25" spans="2:5" x14ac:dyDescent="0.25">
      <c r="B25" s="11"/>
      <c r="C25" s="23" t="s">
        <v>26</v>
      </c>
      <c r="D25" s="30">
        <f>168*15000</f>
        <v>2520000</v>
      </c>
      <c r="E25" t="s">
        <v>737</v>
      </c>
    </row>
    <row r="26" spans="2:5" x14ac:dyDescent="0.25">
      <c r="B26" s="11"/>
      <c r="C26" s="23"/>
      <c r="D26" s="238"/>
    </row>
    <row r="27" spans="2:5" x14ac:dyDescent="0.25">
      <c r="B27" s="11"/>
      <c r="C27" s="23" t="s">
        <v>31</v>
      </c>
      <c r="D27" s="238"/>
    </row>
    <row r="28" spans="2:5" x14ac:dyDescent="0.25">
      <c r="B28" s="11"/>
      <c r="C28" s="23" t="s">
        <v>3</v>
      </c>
      <c r="D28" s="238"/>
    </row>
    <row r="29" spans="2:5" x14ac:dyDescent="0.25">
      <c r="B29" s="11"/>
      <c r="C29" s="23" t="s">
        <v>1</v>
      </c>
      <c r="D29" s="238"/>
    </row>
    <row r="30" spans="2:5" x14ac:dyDescent="0.25">
      <c r="B30" s="11"/>
      <c r="C30" s="23" t="s">
        <v>32</v>
      </c>
      <c r="D30" s="238"/>
    </row>
    <row r="31" spans="2:5" x14ac:dyDescent="0.25">
      <c r="B31" s="11"/>
      <c r="C31" s="23" t="s">
        <v>4</v>
      </c>
      <c r="D31" s="24"/>
    </row>
    <row r="32" spans="2:5" x14ac:dyDescent="0.25">
      <c r="B32" s="11"/>
      <c r="C32" s="23" t="s">
        <v>33</v>
      </c>
      <c r="D32" s="238"/>
    </row>
    <row r="33" spans="2:4" x14ac:dyDescent="0.25">
      <c r="B33" s="11"/>
      <c r="C33" s="23" t="s">
        <v>34</v>
      </c>
      <c r="D33" s="238"/>
    </row>
  </sheetData>
  <dataValidations count="8">
    <dataValidation type="list" allowBlank="1" showInputMessage="1" showErrorMessage="1" sqref="D13">
      <formula1>QCTorDDA</formula1>
    </dataValidation>
    <dataValidation type="list" allowBlank="1" showInputMessage="1" showErrorMessage="1" sqref="D15">
      <formula1>ProjectType</formula1>
    </dataValidation>
    <dataValidation type="list" allowBlank="1" showInputMessage="1" showErrorMessage="1" sqref="D16">
      <formula1>TargetPop</formula1>
    </dataValidation>
    <dataValidation type="list" allowBlank="1" showInputMessage="1" showErrorMessage="1" sqref="D17">
      <formula1>RentalAssistance</formula1>
    </dataValidation>
    <dataValidation type="list" allowBlank="1" showInputMessage="1" showErrorMessage="1" sqref="D23">
      <formula1>SiteControl</formula1>
    </dataValidation>
    <dataValidation type="list" allowBlank="1" showInputMessage="1" showErrorMessage="1" sqref="D32">
      <formula1>EntityType</formula1>
    </dataValidation>
    <dataValidation type="list" allowBlank="1" showInputMessage="1" showErrorMessage="1" sqref="D33">
      <formula1>EntityStatus</formula1>
    </dataValidation>
    <dataValidation type="list" allowBlank="1" showInputMessage="1" showErrorMessage="1" sqref="D10">
      <formula1>County</formula1>
    </dataValidation>
  </dataValidations>
  <hyperlinks>
    <hyperlink ref="E13" r:id="rId1"/>
    <hyperlink ref="E12" r:id="rId2" display="http://factfinder2.census.gov/faces/nav/jsf/pages/index.xhtml"/>
  </hyperlinks>
  <pageMargins left="0.5" right="0.5" top="0.5" bottom="0.5" header="0.3" footer="0.3"/>
  <pageSetup orientation="landscape" r:id="rId3"/>
  <headerFooter scaleWithDoc="0">
    <oddHeader>&amp;R&amp;G</oddHeader>
    <oddFooter>&amp;L&amp;"-,Bold" Confidential&amp;C&amp;D&amp;RPage &amp;P of &amp;N</oddFooter>
  </headerFooter>
  <legacyDrawingHF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152"/>
  <sheetViews>
    <sheetView tabSelected="1" zoomScale="80" zoomScaleNormal="80" zoomScalePageLayoutView="80" workbookViewId="0">
      <selection activeCell="D5" sqref="D5"/>
    </sheetView>
  </sheetViews>
  <sheetFormatPr defaultColWidth="8.85546875" defaultRowHeight="15" outlineLevelRow="1" x14ac:dyDescent="0.25"/>
  <cols>
    <col min="2" max="2" width="22" customWidth="1"/>
    <col min="3" max="3" width="25.85546875" customWidth="1"/>
    <col min="4" max="4" width="12.42578125" bestFit="1" customWidth="1"/>
    <col min="5" max="5" width="16" customWidth="1"/>
    <col min="6" max="6" width="13.140625" customWidth="1"/>
    <col min="7" max="7" width="12.140625" customWidth="1"/>
    <col min="8" max="8" width="18" customWidth="1"/>
    <col min="9" max="9" width="15" customWidth="1"/>
    <col min="10" max="10" width="18.140625" customWidth="1"/>
    <col min="11" max="11" width="19.85546875" customWidth="1"/>
    <col min="12" max="12" width="12.42578125" customWidth="1"/>
    <col min="13" max="13" width="13.140625" customWidth="1"/>
    <col min="14" max="14" width="1.5703125" customWidth="1"/>
    <col min="15" max="15" width="49.85546875" customWidth="1"/>
  </cols>
  <sheetData>
    <row r="2" spans="2:15" x14ac:dyDescent="0.25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2:15" ht="23.25" x14ac:dyDescent="0.35">
      <c r="B3" s="301" t="str">
        <f>""&amp;'Project Description'!D7&amp;", "&amp;'Project Description'!D9&amp;", "&amp;'Project Description'!D10</f>
        <v>Washington Terrace_Bond_Family, Raleigh, Wake County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2:15" ht="23.25" x14ac:dyDescent="0.35">
      <c r="B4" s="30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>
        <v>300000</v>
      </c>
    </row>
    <row r="5" spans="2:15" ht="18.75" x14ac:dyDescent="0.3">
      <c r="B5" s="21" t="s">
        <v>568</v>
      </c>
      <c r="C5" s="11"/>
      <c r="D5" s="11"/>
      <c r="E5" s="11"/>
      <c r="F5" s="241"/>
      <c r="G5" s="11"/>
      <c r="H5" s="11"/>
      <c r="I5" s="11"/>
      <c r="J5" s="11"/>
      <c r="K5" s="11"/>
      <c r="L5" s="11"/>
      <c r="M5" s="11"/>
      <c r="N5" s="11"/>
      <c r="O5" s="11">
        <v>24</v>
      </c>
    </row>
    <row r="6" spans="2:15" x14ac:dyDescent="0.25">
      <c r="B6" s="22" t="s">
        <v>682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>
        <f>+O4/O5</f>
        <v>12500</v>
      </c>
    </row>
    <row r="7" spans="2:15" x14ac:dyDescent="0.25">
      <c r="B7" s="11"/>
      <c r="C7" s="11"/>
      <c r="D7" s="11"/>
      <c r="E7" s="11"/>
      <c r="F7" s="11"/>
      <c r="G7" s="11"/>
      <c r="H7" s="11"/>
      <c r="I7" s="11"/>
      <c r="J7" s="11"/>
      <c r="K7" s="11"/>
      <c r="L7" s="91" t="s">
        <v>699</v>
      </c>
      <c r="M7" s="11"/>
      <c r="N7" s="11"/>
      <c r="O7" s="11"/>
    </row>
    <row r="8" spans="2:15" ht="15.75" x14ac:dyDescent="0.25">
      <c r="B8" s="33" t="s">
        <v>570</v>
      </c>
      <c r="C8" s="108" t="s">
        <v>657</v>
      </c>
      <c r="D8" s="11"/>
      <c r="E8" s="261" t="s">
        <v>502</v>
      </c>
      <c r="F8" s="91" t="s">
        <v>503</v>
      </c>
      <c r="G8" s="91"/>
      <c r="H8" s="91" t="s">
        <v>659</v>
      </c>
      <c r="I8" s="108" t="s">
        <v>620</v>
      </c>
      <c r="J8" s="91" t="s">
        <v>622</v>
      </c>
      <c r="K8" s="91" t="s">
        <v>621</v>
      </c>
      <c r="L8" s="91" t="s">
        <v>623</v>
      </c>
      <c r="M8" s="261" t="s">
        <v>624</v>
      </c>
      <c r="N8" s="11"/>
      <c r="O8" s="52" t="s">
        <v>465</v>
      </c>
    </row>
    <row r="9" spans="2:15" x14ac:dyDescent="0.25">
      <c r="B9" s="11"/>
      <c r="C9" s="15" t="s">
        <v>617</v>
      </c>
      <c r="D9" s="55"/>
      <c r="E9" s="294">
        <f>8500000+300000</f>
        <v>8800000</v>
      </c>
      <c r="F9" s="295">
        <f>IFERROR(E9/'Income &amp; Expenses'!$F$19,0)</f>
        <v>52380.952380952382</v>
      </c>
      <c r="G9" s="296">
        <f t="shared" ref="G9:G14" si="0">IFERROR(E9/$E$15,)</f>
        <v>0.36252837193371301</v>
      </c>
      <c r="H9" s="297">
        <v>1</v>
      </c>
      <c r="I9" s="298">
        <v>0.05</v>
      </c>
      <c r="J9" s="342">
        <v>35</v>
      </c>
      <c r="K9" s="38">
        <v>35</v>
      </c>
      <c r="L9" s="109">
        <f>IFERROR(-PMT(I9/12,K9*12,E9)*12,)</f>
        <v>532950.18402477866</v>
      </c>
      <c r="M9" s="260">
        <f>I9*E9</f>
        <v>440000</v>
      </c>
      <c r="N9" s="11"/>
      <c r="O9" s="43"/>
    </row>
    <row r="10" spans="2:15" x14ac:dyDescent="0.25">
      <c r="B10" s="11"/>
      <c r="C10" s="16" t="s">
        <v>717</v>
      </c>
      <c r="D10" s="119"/>
      <c r="E10" s="265">
        <v>7000000</v>
      </c>
      <c r="F10" s="110">
        <f>IFERROR(E10/'Income &amp; Expenses'!$F$19,)</f>
        <v>41666.666666666664</v>
      </c>
      <c r="G10" s="111">
        <f t="shared" si="0"/>
        <v>0.28837484131090807</v>
      </c>
      <c r="H10" s="112">
        <v>2</v>
      </c>
      <c r="I10" s="264">
        <v>0.01</v>
      </c>
      <c r="J10" s="305">
        <v>40</v>
      </c>
      <c r="K10" s="114">
        <v>40</v>
      </c>
      <c r="L10" s="115">
        <f t="shared" ref="L10:L12" si="1">IFERROR(-PMT(I10/12,K10*12,E10)*12,)</f>
        <v>212399.07730269799</v>
      </c>
      <c r="M10" s="260">
        <f t="shared" ref="M10:M12" si="2">I10*E10</f>
        <v>70000</v>
      </c>
      <c r="N10" s="11"/>
      <c r="O10" s="52"/>
    </row>
    <row r="11" spans="2:15" x14ac:dyDescent="0.25">
      <c r="B11" s="11"/>
      <c r="C11" s="17" t="s">
        <v>706</v>
      </c>
      <c r="D11" s="11"/>
      <c r="E11" s="265">
        <v>0</v>
      </c>
      <c r="F11" s="110">
        <f>IFERROR(E11/'Income &amp; Expenses'!$F$19,)</f>
        <v>0</v>
      </c>
      <c r="G11" s="111">
        <f t="shared" si="0"/>
        <v>0</v>
      </c>
      <c r="H11" s="112">
        <v>4</v>
      </c>
      <c r="I11" s="264">
        <v>0.01</v>
      </c>
      <c r="J11" s="305">
        <v>40</v>
      </c>
      <c r="K11" s="114">
        <v>40</v>
      </c>
      <c r="L11" s="115">
        <f t="shared" si="1"/>
        <v>0</v>
      </c>
      <c r="M11" s="260">
        <f t="shared" si="2"/>
        <v>0</v>
      </c>
      <c r="N11" s="11"/>
      <c r="O11" s="52"/>
    </row>
    <row r="12" spans="2:15" x14ac:dyDescent="0.25">
      <c r="B12" s="11"/>
      <c r="C12" s="16" t="s">
        <v>718</v>
      </c>
      <c r="D12" s="11"/>
      <c r="E12" s="265">
        <v>0</v>
      </c>
      <c r="F12" s="110">
        <f>IFERROR(E12/'Income &amp; Expenses'!$F$19,)</f>
        <v>0</v>
      </c>
      <c r="G12" s="111">
        <f t="shared" si="0"/>
        <v>0</v>
      </c>
      <c r="H12" s="112">
        <v>3</v>
      </c>
      <c r="I12" s="264">
        <v>0.01</v>
      </c>
      <c r="J12" s="305">
        <v>40</v>
      </c>
      <c r="K12" s="114">
        <v>30</v>
      </c>
      <c r="L12" s="115">
        <f t="shared" si="1"/>
        <v>0</v>
      </c>
      <c r="M12" s="260">
        <f t="shared" si="2"/>
        <v>0</v>
      </c>
      <c r="N12" s="11"/>
      <c r="O12" s="52"/>
    </row>
    <row r="13" spans="2:15" x14ac:dyDescent="0.25">
      <c r="B13" s="11"/>
      <c r="C13" s="18" t="s">
        <v>619</v>
      </c>
      <c r="D13" s="116"/>
      <c r="E13" s="117">
        <f>E15-SUM(E9:E12,E14)</f>
        <v>-138766.43852214515</v>
      </c>
      <c r="F13" s="110">
        <f>IFERROR(E13/'Income &amp; Expenses'!$F$19,)</f>
        <v>-825.99070548895929</v>
      </c>
      <c r="G13" s="111">
        <f t="shared" si="0"/>
        <v>-5.7166785268719274E-3</v>
      </c>
      <c r="H13" s="118"/>
      <c r="I13" s="114" t="s">
        <v>625</v>
      </c>
      <c r="J13" s="114" t="s">
        <v>625</v>
      </c>
      <c r="K13" s="114" t="s">
        <v>625</v>
      </c>
      <c r="L13" s="114" t="s">
        <v>625</v>
      </c>
      <c r="M13" s="114" t="s">
        <v>625</v>
      </c>
      <c r="N13" s="11"/>
      <c r="O13" s="52"/>
    </row>
    <row r="14" spans="2:15" x14ac:dyDescent="0.25">
      <c r="B14" s="11"/>
      <c r="C14" s="17" t="s">
        <v>618</v>
      </c>
      <c r="D14" s="287">
        <v>1.02</v>
      </c>
      <c r="E14" s="117">
        <f>D14*K132*9.99</f>
        <v>8612728.6474966388</v>
      </c>
      <c r="F14" s="110">
        <f>IFERROR(E14/'Income &amp; Expenses'!$F$19,)</f>
        <v>51266.241949384756</v>
      </c>
      <c r="G14" s="111">
        <f t="shared" si="0"/>
        <v>0.35481346528225077</v>
      </c>
      <c r="H14" s="118"/>
      <c r="I14" s="114" t="s">
        <v>625</v>
      </c>
      <c r="J14" s="114" t="s">
        <v>625</v>
      </c>
      <c r="K14" s="114" t="s">
        <v>625</v>
      </c>
      <c r="L14" s="114" t="s">
        <v>625</v>
      </c>
      <c r="M14" s="114" t="s">
        <v>625</v>
      </c>
      <c r="N14" s="11"/>
      <c r="O14" s="121"/>
    </row>
    <row r="15" spans="2:15" x14ac:dyDescent="0.25">
      <c r="B15" s="11"/>
      <c r="C15" s="55"/>
      <c r="D15" s="19" t="s">
        <v>502</v>
      </c>
      <c r="E15" s="122">
        <f>H134</f>
        <v>24273962.208974496</v>
      </c>
      <c r="F15" s="123">
        <f>SUM(F9:F14)</f>
        <v>144487.87029151485</v>
      </c>
      <c r="G15" s="124">
        <f>SUM(G9:G14)</f>
        <v>0.99999999999999989</v>
      </c>
      <c r="H15" s="125"/>
      <c r="I15" s="125"/>
      <c r="J15" s="55"/>
      <c r="K15" s="55"/>
      <c r="L15" s="55"/>
      <c r="M15" s="55"/>
      <c r="N15" s="11"/>
      <c r="O15" s="43"/>
    </row>
    <row r="16" spans="2:15" x14ac:dyDescent="0.25">
      <c r="B16" s="11"/>
      <c r="C16" s="11"/>
      <c r="D16" s="11"/>
      <c r="E16" s="126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2:15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2:15" x14ac:dyDescent="0.25">
      <c r="B18" s="11"/>
      <c r="C18" s="238"/>
      <c r="D18" s="238"/>
      <c r="E18" s="288"/>
      <c r="F18" s="280"/>
      <c r="G18" s="11"/>
      <c r="H18" s="11"/>
      <c r="I18" s="11"/>
      <c r="J18" s="11"/>
      <c r="K18" s="11"/>
      <c r="L18" s="11"/>
      <c r="M18" s="11"/>
      <c r="N18" s="11"/>
      <c r="O18" s="11"/>
    </row>
    <row r="19" spans="2:15" ht="15.75" x14ac:dyDescent="0.25">
      <c r="B19" s="33" t="s">
        <v>569</v>
      </c>
      <c r="C19" s="238"/>
      <c r="D19" s="238"/>
      <c r="E19" s="238"/>
      <c r="F19" s="238"/>
      <c r="G19" s="11"/>
      <c r="H19" s="11"/>
      <c r="I19" s="11"/>
      <c r="J19" s="322" t="s">
        <v>627</v>
      </c>
      <c r="K19" s="322"/>
      <c r="L19" s="11"/>
      <c r="M19" s="11"/>
      <c r="N19" s="11"/>
      <c r="O19" s="11"/>
    </row>
    <row r="20" spans="2:15" x14ac:dyDescent="0.25">
      <c r="B20" s="11"/>
      <c r="C20" s="238"/>
      <c r="D20" s="238"/>
      <c r="E20" s="238"/>
      <c r="F20" s="238"/>
      <c r="G20" s="11" t="s">
        <v>658</v>
      </c>
      <c r="H20" s="35" t="s">
        <v>626</v>
      </c>
      <c r="I20" s="35" t="s">
        <v>503</v>
      </c>
      <c r="J20" s="35" t="s">
        <v>628</v>
      </c>
      <c r="K20" s="35" t="s">
        <v>629</v>
      </c>
      <c r="L20" s="11"/>
      <c r="M20" s="11"/>
      <c r="N20" s="130"/>
      <c r="O20" s="131" t="s">
        <v>465</v>
      </c>
    </row>
    <row r="21" spans="2:15" x14ac:dyDescent="0.25">
      <c r="B21" s="135">
        <v>1</v>
      </c>
      <c r="C21" s="324" t="s">
        <v>571</v>
      </c>
      <c r="D21" s="324"/>
      <c r="E21" s="324"/>
      <c r="F21" s="324"/>
      <c r="G21" s="55"/>
      <c r="H21" s="132">
        <v>0</v>
      </c>
      <c r="I21" s="133">
        <f>IFERROR(H21/'Income &amp; Expenses'!$F$19,)</f>
        <v>0</v>
      </c>
      <c r="J21" s="134">
        <f>H21</f>
        <v>0</v>
      </c>
      <c r="K21" s="55"/>
      <c r="L21" s="11"/>
      <c r="M21" s="11"/>
      <c r="N21" s="11"/>
      <c r="O21" s="43"/>
    </row>
    <row r="22" spans="2:15" x14ac:dyDescent="0.25">
      <c r="B22" s="135">
        <f>B21+1</f>
        <v>2</v>
      </c>
      <c r="C22" s="314" t="s">
        <v>572</v>
      </c>
      <c r="D22" s="314"/>
      <c r="E22" s="314"/>
      <c r="F22" s="314"/>
      <c r="G22" s="11"/>
      <c r="H22" s="247">
        <v>250000</v>
      </c>
      <c r="I22" s="137">
        <f>IFERROR(H22/'Income &amp; Expenses'!$F$19,)</f>
        <v>1488.0952380952381</v>
      </c>
      <c r="J22" s="139">
        <f>+H22</f>
        <v>250000</v>
      </c>
      <c r="K22" s="138"/>
      <c r="L22" s="11"/>
      <c r="M22" s="11"/>
      <c r="N22" s="11"/>
      <c r="O22" s="52"/>
    </row>
    <row r="23" spans="2:15" x14ac:dyDescent="0.25">
      <c r="B23" s="135">
        <f>B22+1</f>
        <v>3</v>
      </c>
      <c r="C23" s="314" t="s">
        <v>573</v>
      </c>
      <c r="D23" s="314"/>
      <c r="E23" s="314"/>
      <c r="F23" s="314"/>
      <c r="G23" s="11"/>
      <c r="H23" s="141">
        <f>'Income &amp; Expenses'!F19*12500</f>
        <v>2100000</v>
      </c>
      <c r="I23" s="137">
        <f>IFERROR(H23/'Income &amp; Expenses'!$F$19,)</f>
        <v>12500</v>
      </c>
      <c r="J23" s="139">
        <f t="shared" ref="J23:J34" si="3">+H23</f>
        <v>2100000</v>
      </c>
      <c r="K23" s="138"/>
      <c r="L23" s="11"/>
      <c r="M23" s="11"/>
      <c r="N23" s="11"/>
      <c r="O23" s="52"/>
    </row>
    <row r="24" spans="2:15" x14ac:dyDescent="0.25">
      <c r="B24" s="135">
        <f t="shared" ref="B24:B130" si="4">B23+1</f>
        <v>4</v>
      </c>
      <c r="C24" s="323" t="s">
        <v>574</v>
      </c>
      <c r="D24" s="323"/>
      <c r="E24" s="323"/>
      <c r="F24" s="323"/>
      <c r="G24" s="11"/>
      <c r="H24" s="247">
        <v>0</v>
      </c>
      <c r="I24" s="137">
        <f>IFERROR(H24/'Income &amp; Expenses'!$F$19,)</f>
        <v>0</v>
      </c>
      <c r="J24" s="139">
        <f t="shared" si="3"/>
        <v>0</v>
      </c>
      <c r="K24" s="292"/>
      <c r="L24" s="11"/>
      <c r="M24" s="11"/>
      <c r="N24" s="11"/>
      <c r="O24" s="284"/>
    </row>
    <row r="25" spans="2:15" x14ac:dyDescent="0.25">
      <c r="B25" s="135">
        <f>B24+1</f>
        <v>5</v>
      </c>
      <c r="C25" s="323" t="s">
        <v>630</v>
      </c>
      <c r="D25" s="323"/>
      <c r="E25" s="323"/>
      <c r="F25" s="323"/>
      <c r="G25" s="11"/>
      <c r="H25" s="136">
        <v>0</v>
      </c>
      <c r="I25" s="137">
        <f>IFERROR(H25/'Income &amp; Expenses'!$F$19,)</f>
        <v>0</v>
      </c>
      <c r="J25" s="139">
        <f t="shared" si="3"/>
        <v>0</v>
      </c>
      <c r="K25" s="138"/>
      <c r="L25" s="11"/>
      <c r="M25" s="11"/>
      <c r="N25" s="11"/>
      <c r="O25" s="52"/>
    </row>
    <row r="26" spans="2:15" x14ac:dyDescent="0.25">
      <c r="B26" s="135">
        <f>B25+1</f>
        <v>6</v>
      </c>
      <c r="C26" s="314" t="s">
        <v>631</v>
      </c>
      <c r="D26" s="314"/>
      <c r="E26" s="314"/>
      <c r="F26" s="314"/>
      <c r="G26" s="270">
        <v>0</v>
      </c>
      <c r="H26" s="141">
        <f>(67999*'Income &amp; Expenses'!F19)-H27</f>
        <v>11163832</v>
      </c>
      <c r="I26" s="137">
        <f>IFERROR(H26/'Income &amp; Expenses'!$F$19,)</f>
        <v>66451.380952380947</v>
      </c>
      <c r="J26" s="139">
        <f t="shared" si="3"/>
        <v>11163832</v>
      </c>
      <c r="K26" s="138"/>
      <c r="L26" s="139">
        <f>(+H26+H27)/'Income &amp; Expenses'!F19</f>
        <v>67999</v>
      </c>
      <c r="M26" s="11"/>
      <c r="N26" s="11"/>
      <c r="O26" s="52"/>
    </row>
    <row r="27" spans="2:15" x14ac:dyDescent="0.25">
      <c r="B27" s="135">
        <f>B26+1</f>
        <v>7</v>
      </c>
      <c r="C27" s="314" t="s">
        <v>575</v>
      </c>
      <c r="D27" s="314"/>
      <c r="E27" s="314"/>
      <c r="F27" s="314"/>
      <c r="G27" s="11"/>
      <c r="H27" s="247">
        <v>260000</v>
      </c>
      <c r="I27" s="137">
        <f>IFERROR(H27/'Income &amp; Expenses'!$F$19,)</f>
        <v>1547.6190476190477</v>
      </c>
      <c r="J27" s="139">
        <f t="shared" si="3"/>
        <v>260000</v>
      </c>
      <c r="K27" s="138"/>
      <c r="L27" s="11"/>
      <c r="M27" s="11"/>
      <c r="N27" s="11"/>
      <c r="O27" s="52"/>
    </row>
    <row r="28" spans="2:15" x14ac:dyDescent="0.25">
      <c r="B28" s="135">
        <f t="shared" si="4"/>
        <v>8</v>
      </c>
      <c r="C28" s="314" t="s">
        <v>576</v>
      </c>
      <c r="D28" s="314"/>
      <c r="E28" s="314"/>
      <c r="F28" s="314"/>
      <c r="G28" s="142">
        <v>0.06</v>
      </c>
      <c r="H28" s="138">
        <f>G28*SUM(H22:H27)</f>
        <v>826429.91999999993</v>
      </c>
      <c r="I28" s="137">
        <f>IFERROR(H28/'Income &amp; Expenses'!$F$19,)</f>
        <v>4919.2257142857143</v>
      </c>
      <c r="J28" s="139">
        <f t="shared" si="3"/>
        <v>826429.91999999993</v>
      </c>
      <c r="K28" s="138"/>
      <c r="L28" s="11"/>
      <c r="M28" s="11"/>
      <c r="N28" s="11"/>
      <c r="O28" s="52"/>
    </row>
    <row r="29" spans="2:15" x14ac:dyDescent="0.25">
      <c r="B29" s="135">
        <f t="shared" si="4"/>
        <v>9</v>
      </c>
      <c r="C29" s="314" t="s">
        <v>577</v>
      </c>
      <c r="D29" s="314"/>
      <c r="E29" s="314"/>
      <c r="F29" s="314"/>
      <c r="G29" s="142">
        <v>0.02</v>
      </c>
      <c r="H29" s="138">
        <f>G29*SUM(H22:H28)</f>
        <v>292005.23840000003</v>
      </c>
      <c r="I29" s="137">
        <f>IFERROR(H29/'Income &amp; Expenses'!$F$19,)</f>
        <v>1738.1264190476193</v>
      </c>
      <c r="J29" s="139">
        <f t="shared" si="3"/>
        <v>292005.23840000003</v>
      </c>
      <c r="K29" s="138"/>
      <c r="L29" s="11"/>
      <c r="M29" s="11"/>
      <c r="N29" s="11"/>
      <c r="O29" s="52"/>
    </row>
    <row r="30" spans="2:15" x14ac:dyDescent="0.25">
      <c r="B30" s="135">
        <f t="shared" si="4"/>
        <v>10</v>
      </c>
      <c r="C30" s="314" t="s">
        <v>578</v>
      </c>
      <c r="D30" s="314"/>
      <c r="E30" s="314"/>
      <c r="F30" s="314"/>
      <c r="G30" s="142">
        <v>0.08</v>
      </c>
      <c r="H30" s="138">
        <f>G30*SUM(H22:H28)</f>
        <v>1168020.9536000001</v>
      </c>
      <c r="I30" s="137">
        <f>IFERROR(H30/'Income &amp; Expenses'!$F$19,)</f>
        <v>6952.5056761904771</v>
      </c>
      <c r="J30" s="139">
        <f t="shared" si="3"/>
        <v>1168020.9536000001</v>
      </c>
      <c r="K30" s="138"/>
      <c r="L30" s="11"/>
      <c r="M30" s="11"/>
      <c r="N30" s="11"/>
      <c r="O30" s="52"/>
    </row>
    <row r="31" spans="2:15" x14ac:dyDescent="0.25">
      <c r="B31" s="135">
        <f t="shared" si="4"/>
        <v>11</v>
      </c>
      <c r="C31" s="314" t="s">
        <v>579</v>
      </c>
      <c r="D31" s="314"/>
      <c r="E31" s="314"/>
      <c r="F31" s="314"/>
      <c r="G31" s="142">
        <v>0.05</v>
      </c>
      <c r="H31" s="138">
        <f>G31*SUM(H22:H30)</f>
        <v>803014.40560000006</v>
      </c>
      <c r="I31" s="137">
        <f>IFERROR(H31/'Income &amp; Expenses'!$F$19,)</f>
        <v>4779.8476523809531</v>
      </c>
      <c r="J31" s="139">
        <f t="shared" si="3"/>
        <v>803014.40560000006</v>
      </c>
      <c r="K31" s="138"/>
      <c r="L31" s="11"/>
      <c r="M31" s="11"/>
      <c r="N31" s="11"/>
      <c r="O31" s="52"/>
    </row>
    <row r="32" spans="2:15" x14ac:dyDescent="0.25">
      <c r="B32" s="135">
        <f t="shared" si="4"/>
        <v>12</v>
      </c>
      <c r="C32" s="314" t="s">
        <v>709</v>
      </c>
      <c r="D32" s="314"/>
      <c r="E32" s="314"/>
      <c r="F32" s="314"/>
      <c r="G32" s="259">
        <v>2.5000000000000001E-2</v>
      </c>
      <c r="H32" s="173">
        <f>G32*SUM(H23:H31)-100000</f>
        <v>315332.56294000003</v>
      </c>
      <c r="I32" s="137">
        <f>IFERROR(H32/'Income &amp; Expenses'!$F$19,)</f>
        <v>1876.9795413095239</v>
      </c>
      <c r="J32" s="139">
        <f t="shared" si="3"/>
        <v>315332.56294000003</v>
      </c>
      <c r="K32" s="138"/>
      <c r="L32" s="11"/>
      <c r="M32" s="11"/>
      <c r="N32" s="11"/>
      <c r="O32" s="52"/>
    </row>
    <row r="33" spans="2:15" x14ac:dyDescent="0.25">
      <c r="B33" s="135">
        <f t="shared" si="4"/>
        <v>13</v>
      </c>
      <c r="C33" s="314" t="s">
        <v>580</v>
      </c>
      <c r="D33" s="314"/>
      <c r="E33" s="314"/>
      <c r="F33" s="314"/>
      <c r="G33" s="259">
        <v>5.0000000000000001E-3</v>
      </c>
      <c r="H33" s="173">
        <f>G33*SUM(H23:H31)</f>
        <v>83066.512587999998</v>
      </c>
      <c r="I33" s="137">
        <f>IFERROR(H33/'Income &amp; Expenses'!$F$19,)</f>
        <v>494.4435273095238</v>
      </c>
      <c r="J33" s="139">
        <f t="shared" si="3"/>
        <v>83066.512587999998</v>
      </c>
      <c r="K33" s="138"/>
      <c r="L33" s="11"/>
      <c r="M33" s="11"/>
      <c r="N33" s="11"/>
      <c r="O33" s="52"/>
    </row>
    <row r="34" spans="2:15" x14ac:dyDescent="0.25">
      <c r="B34" s="135">
        <f t="shared" si="4"/>
        <v>14</v>
      </c>
      <c r="C34" s="314" t="s">
        <v>581</v>
      </c>
      <c r="D34" s="314"/>
      <c r="E34" s="314"/>
      <c r="F34" s="314"/>
      <c r="G34" s="11"/>
      <c r="H34" s="136">
        <v>65000</v>
      </c>
      <c r="I34" s="137">
        <f>IFERROR(H34/'Income &amp; Expenses'!$F$19,)</f>
        <v>386.90476190476193</v>
      </c>
      <c r="J34" s="139">
        <f t="shared" si="3"/>
        <v>65000</v>
      </c>
      <c r="K34" s="138"/>
      <c r="L34" s="11"/>
      <c r="M34" s="11"/>
      <c r="N34" s="11"/>
      <c r="O34" s="52"/>
    </row>
    <row r="35" spans="2:15" x14ac:dyDescent="0.25">
      <c r="C35" s="318" t="str">
        <f>"SUBTOTAL (lines "&amp;B21&amp;" through "&amp;B34&amp;")"</f>
        <v>SUBTOTAL (lines 1 through 14)</v>
      </c>
      <c r="D35" s="319"/>
      <c r="E35" s="319"/>
      <c r="F35" s="319"/>
      <c r="G35" s="174"/>
      <c r="H35" s="143">
        <f>SUM(H21:H34)</f>
        <v>17326701.593128003</v>
      </c>
      <c r="I35" s="144">
        <f>IFERROR(H35/'Income &amp; Expenses'!$F$19,)</f>
        <v>103135.12853052383</v>
      </c>
      <c r="J35" s="145"/>
      <c r="K35" s="144"/>
      <c r="L35" s="11"/>
      <c r="M35" s="11"/>
      <c r="N35" s="11"/>
      <c r="O35" s="52"/>
    </row>
    <row r="36" spans="2:15" x14ac:dyDescent="0.25">
      <c r="B36" s="135">
        <f>B34+1</f>
        <v>15</v>
      </c>
      <c r="C36" s="314" t="s">
        <v>582</v>
      </c>
      <c r="D36" s="314"/>
      <c r="E36" s="314"/>
      <c r="F36" s="314"/>
      <c r="G36" s="270">
        <v>350</v>
      </c>
      <c r="H36" s="291">
        <v>54250</v>
      </c>
      <c r="I36" s="137">
        <f>IFERROR(H36/'Income &amp; Expenses'!$F$19,)</f>
        <v>322.91666666666669</v>
      </c>
      <c r="J36" s="139">
        <f>+H36</f>
        <v>54250</v>
      </c>
      <c r="K36" s="138"/>
      <c r="L36" s="11"/>
      <c r="M36" s="11"/>
      <c r="N36" s="11"/>
      <c r="O36" s="52"/>
    </row>
    <row r="37" spans="2:15" x14ac:dyDescent="0.25">
      <c r="B37" s="135">
        <f>B36+1</f>
        <v>16</v>
      </c>
      <c r="C37" s="314" t="s">
        <v>752</v>
      </c>
      <c r="D37" s="314"/>
      <c r="E37" s="314"/>
      <c r="F37" s="314"/>
      <c r="G37" s="146" t="s">
        <v>636</v>
      </c>
      <c r="H37" s="117">
        <v>119686</v>
      </c>
      <c r="I37" s="137">
        <f>IFERROR(H37/'Income &amp; Expenses'!$F$19,)</f>
        <v>712.41666666666663</v>
      </c>
      <c r="J37" s="139">
        <f t="shared" ref="J37:J77" si="5">+H37</f>
        <v>119686</v>
      </c>
      <c r="K37" s="138"/>
      <c r="L37" s="11"/>
      <c r="M37" s="11"/>
      <c r="N37" s="11"/>
      <c r="O37" s="52"/>
    </row>
    <row r="38" spans="2:15" hidden="1" outlineLevel="1" x14ac:dyDescent="0.25">
      <c r="B38" s="147" t="str">
        <f>$B$37&amp;"a"</f>
        <v>16a</v>
      </c>
      <c r="C38" s="315" t="s">
        <v>667</v>
      </c>
      <c r="D38" s="315"/>
      <c r="E38" s="148" t="s">
        <v>662</v>
      </c>
      <c r="F38" s="148" t="s">
        <v>666</v>
      </c>
      <c r="G38" s="149" t="s">
        <v>665</v>
      </c>
      <c r="H38" s="150"/>
      <c r="I38" s="139"/>
      <c r="J38" s="139">
        <f t="shared" si="5"/>
        <v>0</v>
      </c>
      <c r="K38" s="139"/>
      <c r="L38" s="11"/>
      <c r="M38" s="11"/>
      <c r="N38" s="11"/>
      <c r="O38" s="52"/>
    </row>
    <row r="39" spans="2:15" hidden="1" outlineLevel="1" x14ac:dyDescent="0.25">
      <c r="B39" s="147" t="str">
        <f>$B$37&amp;"b"</f>
        <v>16b</v>
      </c>
      <c r="C39" s="325" t="s">
        <v>723</v>
      </c>
      <c r="D39" s="320"/>
      <c r="E39" s="151">
        <v>6100000</v>
      </c>
      <c r="F39" s="282">
        <v>7.4999999999999997E-3</v>
      </c>
      <c r="G39" s="153">
        <f>E39*F39</f>
        <v>45750</v>
      </c>
      <c r="H39" s="150"/>
      <c r="I39" s="139"/>
      <c r="J39" s="139">
        <f t="shared" si="5"/>
        <v>0</v>
      </c>
      <c r="K39" s="139"/>
      <c r="L39" s="11"/>
      <c r="M39" s="11"/>
      <c r="N39" s="11"/>
      <c r="O39" s="52"/>
    </row>
    <row r="40" spans="2:15" hidden="1" outlineLevel="1" x14ac:dyDescent="0.25">
      <c r="B40" s="147" t="str">
        <f>$B$37&amp;"c"</f>
        <v>16c</v>
      </c>
      <c r="C40" s="325" t="s">
        <v>704</v>
      </c>
      <c r="D40" s="320"/>
      <c r="E40" s="151">
        <v>0</v>
      </c>
      <c r="F40" s="152">
        <v>0.01</v>
      </c>
      <c r="G40" s="153">
        <f t="shared" ref="G40:G46" si="6">E40*F40</f>
        <v>0</v>
      </c>
      <c r="H40" s="150"/>
      <c r="I40" s="139"/>
      <c r="J40" s="139">
        <f t="shared" si="5"/>
        <v>0</v>
      </c>
      <c r="K40" s="139"/>
      <c r="L40" s="11"/>
      <c r="M40" s="11"/>
      <c r="N40" s="11"/>
      <c r="O40" s="52"/>
    </row>
    <row r="41" spans="2:15" hidden="1" outlineLevel="1" x14ac:dyDescent="0.25">
      <c r="B41" s="147" t="str">
        <f>$B$37&amp;"d"</f>
        <v>16d</v>
      </c>
      <c r="C41" s="325"/>
      <c r="D41" s="320"/>
      <c r="E41" s="151">
        <v>0</v>
      </c>
      <c r="F41" s="152">
        <v>0.01</v>
      </c>
      <c r="G41" s="153">
        <f t="shared" si="6"/>
        <v>0</v>
      </c>
      <c r="H41" s="150"/>
      <c r="I41" s="139"/>
      <c r="J41" s="139">
        <f t="shared" si="5"/>
        <v>0</v>
      </c>
      <c r="K41" s="139"/>
      <c r="L41" s="11"/>
      <c r="M41" s="11"/>
      <c r="N41" s="11"/>
      <c r="O41" s="52"/>
    </row>
    <row r="42" spans="2:15" hidden="1" outlineLevel="1" x14ac:dyDescent="0.25">
      <c r="B42" s="147" t="str">
        <f>$B$37&amp;"e"</f>
        <v>16e</v>
      </c>
      <c r="C42" s="325"/>
      <c r="D42" s="320"/>
      <c r="E42" s="151">
        <v>0</v>
      </c>
      <c r="F42" s="152">
        <v>0</v>
      </c>
      <c r="G42" s="153">
        <f t="shared" si="6"/>
        <v>0</v>
      </c>
      <c r="H42" s="150"/>
      <c r="I42" s="139"/>
      <c r="J42" s="139">
        <f t="shared" si="5"/>
        <v>0</v>
      </c>
      <c r="K42" s="139"/>
      <c r="L42" s="11"/>
      <c r="M42" s="11"/>
      <c r="N42" s="11"/>
      <c r="O42" s="52"/>
    </row>
    <row r="43" spans="2:15" hidden="1" outlineLevel="1" x14ac:dyDescent="0.25">
      <c r="B43" s="147" t="str">
        <f>$B$37&amp;"f"</f>
        <v>16f</v>
      </c>
      <c r="C43" s="325"/>
      <c r="D43" s="320"/>
      <c r="E43" s="151">
        <v>0</v>
      </c>
      <c r="F43" s="152">
        <v>0</v>
      </c>
      <c r="G43" s="153">
        <f t="shared" si="6"/>
        <v>0</v>
      </c>
      <c r="H43" s="150"/>
      <c r="I43" s="139"/>
      <c r="J43" s="139">
        <f t="shared" si="5"/>
        <v>0</v>
      </c>
      <c r="K43" s="139"/>
      <c r="L43" s="11"/>
      <c r="M43" s="11"/>
      <c r="N43" s="11"/>
      <c r="O43" s="52"/>
    </row>
    <row r="44" spans="2:15" hidden="1" outlineLevel="1" x14ac:dyDescent="0.25">
      <c r="B44" s="147" t="str">
        <f>$B$37&amp;"g"</f>
        <v>16g</v>
      </c>
      <c r="C44" s="325"/>
      <c r="D44" s="320"/>
      <c r="E44" s="151">
        <v>0</v>
      </c>
      <c r="F44" s="152">
        <v>0.01</v>
      </c>
      <c r="G44" s="153">
        <f t="shared" si="6"/>
        <v>0</v>
      </c>
      <c r="H44" s="150"/>
      <c r="I44" s="139"/>
      <c r="J44" s="139">
        <f t="shared" si="5"/>
        <v>0</v>
      </c>
      <c r="K44" s="139"/>
      <c r="L44" s="11"/>
      <c r="M44" s="11"/>
      <c r="N44" s="11"/>
      <c r="O44" s="52"/>
    </row>
    <row r="45" spans="2:15" hidden="1" outlineLevel="1" x14ac:dyDescent="0.25">
      <c r="B45" s="147" t="str">
        <f>$B$37&amp;"h"</f>
        <v>16h</v>
      </c>
      <c r="C45" s="325"/>
      <c r="D45" s="320"/>
      <c r="E45" s="151">
        <v>0</v>
      </c>
      <c r="F45" s="152">
        <v>0</v>
      </c>
      <c r="G45" s="153">
        <f t="shared" si="6"/>
        <v>0</v>
      </c>
      <c r="H45" s="150"/>
      <c r="I45" s="139"/>
      <c r="J45" s="139">
        <f t="shared" si="5"/>
        <v>0</v>
      </c>
      <c r="K45" s="139"/>
      <c r="L45" s="11"/>
      <c r="M45" s="11"/>
      <c r="N45" s="11"/>
      <c r="O45" s="52"/>
    </row>
    <row r="46" spans="2:15" hidden="1" outlineLevel="1" x14ac:dyDescent="0.25">
      <c r="B46" s="147" t="str">
        <f>$B$37&amp;"i"</f>
        <v>16i</v>
      </c>
      <c r="C46" s="325"/>
      <c r="D46" s="320"/>
      <c r="E46" s="151">
        <v>0</v>
      </c>
      <c r="F46" s="152">
        <v>0</v>
      </c>
      <c r="G46" s="153">
        <f t="shared" si="6"/>
        <v>0</v>
      </c>
      <c r="H46" s="150"/>
      <c r="I46" s="139"/>
      <c r="J46" s="139">
        <f t="shared" si="5"/>
        <v>0</v>
      </c>
      <c r="K46" s="139"/>
      <c r="L46" s="11"/>
      <c r="M46" s="11"/>
      <c r="N46" s="11"/>
      <c r="O46" s="52"/>
    </row>
    <row r="47" spans="2:15" collapsed="1" x14ac:dyDescent="0.25">
      <c r="B47" s="135">
        <f>B37+1</f>
        <v>17</v>
      </c>
      <c r="C47" s="314" t="s">
        <v>583</v>
      </c>
      <c r="D47" s="314"/>
      <c r="E47" s="314"/>
      <c r="F47" s="314"/>
      <c r="G47" s="22" t="s">
        <v>636</v>
      </c>
      <c r="H47" s="136">
        <v>347635</v>
      </c>
      <c r="I47" s="137">
        <f>IFERROR(H47/'Income &amp; Expenses'!$F$19,)</f>
        <v>2069.2559523809523</v>
      </c>
      <c r="J47" s="139">
        <f t="shared" si="5"/>
        <v>347635</v>
      </c>
      <c r="K47" s="138"/>
      <c r="L47" s="11"/>
      <c r="M47" s="11"/>
      <c r="N47" s="11"/>
      <c r="O47" s="52"/>
    </row>
    <row r="48" spans="2:15" hidden="1" outlineLevel="1" x14ac:dyDescent="0.25">
      <c r="B48" s="147" t="str">
        <f>$B$47&amp;"a"</f>
        <v>17a</v>
      </c>
      <c r="C48" s="321" t="s">
        <v>660</v>
      </c>
      <c r="D48" s="321"/>
      <c r="E48" s="154">
        <v>18</v>
      </c>
      <c r="F48" s="155"/>
      <c r="G48" s="156"/>
      <c r="H48" s="150"/>
      <c r="I48" s="139"/>
      <c r="J48" s="139">
        <f t="shared" si="5"/>
        <v>0</v>
      </c>
      <c r="K48" s="139"/>
      <c r="L48" s="11"/>
      <c r="M48" s="11"/>
      <c r="N48" s="11"/>
      <c r="O48" s="52"/>
    </row>
    <row r="49" spans="2:15" hidden="1" outlineLevel="1" x14ac:dyDescent="0.25">
      <c r="B49" s="147" t="str">
        <f>$B$47&amp;"b"</f>
        <v>17b</v>
      </c>
      <c r="C49" s="321" t="s">
        <v>661</v>
      </c>
      <c r="D49" s="321"/>
      <c r="E49" s="157">
        <v>0.5</v>
      </c>
      <c r="F49" s="155"/>
      <c r="G49" s="156"/>
      <c r="H49" s="150"/>
      <c r="I49" s="139"/>
      <c r="J49" s="139">
        <f t="shared" si="5"/>
        <v>0</v>
      </c>
      <c r="K49" s="139"/>
      <c r="L49" s="11"/>
      <c r="M49" s="11"/>
      <c r="N49" s="11"/>
      <c r="O49" s="52"/>
    </row>
    <row r="50" spans="2:15" hidden="1" outlineLevel="1" x14ac:dyDescent="0.25">
      <c r="B50" s="147" t="str">
        <f>$B$47&amp;"c"</f>
        <v>17c</v>
      </c>
      <c r="C50" s="315" t="s">
        <v>667</v>
      </c>
      <c r="D50" s="315"/>
      <c r="E50" s="148" t="s">
        <v>662</v>
      </c>
      <c r="F50" s="148" t="s">
        <v>663</v>
      </c>
      <c r="G50" s="148" t="s">
        <v>664</v>
      </c>
      <c r="H50" s="150"/>
      <c r="I50" s="139"/>
      <c r="J50" s="139">
        <f t="shared" si="5"/>
        <v>0</v>
      </c>
      <c r="K50" s="139"/>
      <c r="L50" s="11"/>
      <c r="M50" s="11"/>
      <c r="N50" s="11"/>
      <c r="O50" s="52"/>
    </row>
    <row r="51" spans="2:15" hidden="1" outlineLevel="1" x14ac:dyDescent="0.25">
      <c r="B51" s="147" t="str">
        <f>$B$47&amp;"d"</f>
        <v>17d</v>
      </c>
      <c r="C51" s="316" t="str">
        <f>C39</f>
        <v>Construction loan</v>
      </c>
      <c r="D51" s="320"/>
      <c r="E51" s="151">
        <f>E39</f>
        <v>6100000</v>
      </c>
      <c r="F51" s="281">
        <v>4.4999999999999998E-2</v>
      </c>
      <c r="G51" s="153">
        <f>IFERROR((E51*$E$49)*(F51/12)*$E$48,)</f>
        <v>205875</v>
      </c>
      <c r="H51" s="150"/>
      <c r="I51" s="139"/>
      <c r="J51" s="139">
        <f t="shared" si="5"/>
        <v>0</v>
      </c>
      <c r="K51" s="139"/>
      <c r="L51" s="11"/>
      <c r="M51" s="11"/>
      <c r="N51" s="11"/>
      <c r="O51" s="52"/>
    </row>
    <row r="52" spans="2:15" hidden="1" outlineLevel="1" x14ac:dyDescent="0.25">
      <c r="B52" s="147" t="str">
        <f>$B$47&amp;"e"</f>
        <v>17e</v>
      </c>
      <c r="C52" s="316" t="str">
        <f t="shared" ref="C52:C58" si="7">C40</f>
        <v>Other source</v>
      </c>
      <c r="D52" s="320"/>
      <c r="E52" s="151">
        <f>E40</f>
        <v>0</v>
      </c>
      <c r="F52" s="158">
        <v>0</v>
      </c>
      <c r="G52" s="153">
        <f t="shared" ref="G52:G58" si="8">IFERROR((E52*$E$49)*(F52/12)*$E$48,)</f>
        <v>0</v>
      </c>
      <c r="H52" s="150"/>
      <c r="I52" s="139"/>
      <c r="J52" s="139">
        <f t="shared" si="5"/>
        <v>0</v>
      </c>
      <c r="K52" s="139"/>
      <c r="L52" s="11"/>
      <c r="M52" s="11"/>
      <c r="N52" s="11"/>
      <c r="O52" s="52"/>
    </row>
    <row r="53" spans="2:15" hidden="1" outlineLevel="1" x14ac:dyDescent="0.25">
      <c r="B53" s="147" t="str">
        <f>$B$47&amp;"f"</f>
        <v>17f</v>
      </c>
      <c r="C53" s="316">
        <f t="shared" si="7"/>
        <v>0</v>
      </c>
      <c r="D53" s="320"/>
      <c r="E53" s="151">
        <f t="shared" ref="E53:E58" si="9">E41</f>
        <v>0</v>
      </c>
      <c r="F53" s="158">
        <v>0</v>
      </c>
      <c r="G53" s="153">
        <f t="shared" si="8"/>
        <v>0</v>
      </c>
      <c r="H53" s="150"/>
      <c r="I53" s="139"/>
      <c r="J53" s="139">
        <f t="shared" si="5"/>
        <v>0</v>
      </c>
      <c r="K53" s="139"/>
      <c r="L53" s="11"/>
      <c r="M53" s="11"/>
      <c r="N53" s="11"/>
      <c r="O53" s="52"/>
    </row>
    <row r="54" spans="2:15" hidden="1" outlineLevel="1" x14ac:dyDescent="0.25">
      <c r="B54" s="147" t="str">
        <f>$B$47&amp;"g"</f>
        <v>17g</v>
      </c>
      <c r="C54" s="316">
        <f t="shared" si="7"/>
        <v>0</v>
      </c>
      <c r="D54" s="320"/>
      <c r="E54" s="151">
        <f t="shared" si="9"/>
        <v>0</v>
      </c>
      <c r="F54" s="158">
        <v>0</v>
      </c>
      <c r="G54" s="153">
        <f t="shared" si="8"/>
        <v>0</v>
      </c>
      <c r="H54" s="150"/>
      <c r="I54" s="139"/>
      <c r="J54" s="139">
        <f t="shared" si="5"/>
        <v>0</v>
      </c>
      <c r="K54" s="139"/>
      <c r="L54" s="11"/>
      <c r="M54" s="11"/>
      <c r="N54" s="11"/>
      <c r="O54" s="52"/>
    </row>
    <row r="55" spans="2:15" hidden="1" outlineLevel="1" x14ac:dyDescent="0.25">
      <c r="B55" s="147" t="str">
        <f>$B$47&amp;"h"</f>
        <v>17h</v>
      </c>
      <c r="C55" s="316">
        <f t="shared" si="7"/>
        <v>0</v>
      </c>
      <c r="D55" s="320"/>
      <c r="E55" s="151">
        <f t="shared" si="9"/>
        <v>0</v>
      </c>
      <c r="F55" s="158">
        <v>0</v>
      </c>
      <c r="G55" s="153">
        <f t="shared" si="8"/>
        <v>0</v>
      </c>
      <c r="H55" s="150"/>
      <c r="I55" s="139"/>
      <c r="J55" s="139">
        <f t="shared" si="5"/>
        <v>0</v>
      </c>
      <c r="K55" s="139"/>
      <c r="L55" s="11"/>
      <c r="M55" s="11"/>
      <c r="N55" s="11"/>
      <c r="O55" s="52"/>
    </row>
    <row r="56" spans="2:15" hidden="1" outlineLevel="1" x14ac:dyDescent="0.25">
      <c r="B56" s="147" t="str">
        <f>$B$47&amp;"i"</f>
        <v>17i</v>
      </c>
      <c r="C56" s="316">
        <f t="shared" si="7"/>
        <v>0</v>
      </c>
      <c r="D56" s="320"/>
      <c r="E56" s="151">
        <f t="shared" si="9"/>
        <v>0</v>
      </c>
      <c r="F56" s="158">
        <v>0</v>
      </c>
      <c r="G56" s="153">
        <f t="shared" si="8"/>
        <v>0</v>
      </c>
      <c r="H56" s="150"/>
      <c r="I56" s="139"/>
      <c r="J56" s="139">
        <f t="shared" si="5"/>
        <v>0</v>
      </c>
      <c r="K56" s="139"/>
      <c r="L56" s="11"/>
      <c r="M56" s="11"/>
      <c r="N56" s="11"/>
      <c r="O56" s="52"/>
    </row>
    <row r="57" spans="2:15" hidden="1" outlineLevel="1" x14ac:dyDescent="0.25">
      <c r="B57" s="147" t="str">
        <f>$B$47&amp;"j"</f>
        <v>17j</v>
      </c>
      <c r="C57" s="316">
        <f t="shared" si="7"/>
        <v>0</v>
      </c>
      <c r="D57" s="320"/>
      <c r="E57" s="151">
        <f t="shared" si="9"/>
        <v>0</v>
      </c>
      <c r="F57" s="158">
        <v>0</v>
      </c>
      <c r="G57" s="153">
        <f t="shared" si="8"/>
        <v>0</v>
      </c>
      <c r="H57" s="150"/>
      <c r="I57" s="139"/>
      <c r="J57" s="139">
        <f t="shared" si="5"/>
        <v>0</v>
      </c>
      <c r="K57" s="139"/>
      <c r="L57" s="11"/>
      <c r="M57" s="11"/>
      <c r="N57" s="11"/>
      <c r="O57" s="52"/>
    </row>
    <row r="58" spans="2:15" hidden="1" outlineLevel="1" x14ac:dyDescent="0.25">
      <c r="B58" s="147" t="str">
        <f>$B$47&amp;"k"</f>
        <v>17k</v>
      </c>
      <c r="C58" s="316">
        <f t="shared" si="7"/>
        <v>0</v>
      </c>
      <c r="D58" s="320"/>
      <c r="E58" s="151">
        <f t="shared" si="9"/>
        <v>0</v>
      </c>
      <c r="F58" s="158">
        <v>0</v>
      </c>
      <c r="G58" s="153">
        <f t="shared" si="8"/>
        <v>0</v>
      </c>
      <c r="H58" s="150"/>
      <c r="I58" s="139"/>
      <c r="J58" s="139">
        <f t="shared" si="5"/>
        <v>0</v>
      </c>
      <c r="K58" s="139"/>
      <c r="L58" s="11"/>
      <c r="M58" s="11"/>
      <c r="N58" s="11"/>
      <c r="O58" s="52"/>
    </row>
    <row r="59" spans="2:15" collapsed="1" x14ac:dyDescent="0.25">
      <c r="B59" s="135">
        <f>B47+1</f>
        <v>18</v>
      </c>
      <c r="C59" s="314" t="s">
        <v>584</v>
      </c>
      <c r="D59" s="314"/>
      <c r="E59" s="314"/>
      <c r="F59" s="314"/>
      <c r="G59" s="11"/>
      <c r="H59" s="136">
        <v>0</v>
      </c>
      <c r="I59" s="137">
        <f>IFERROR(H59/'Income &amp; Expenses'!$F$19,)</f>
        <v>0</v>
      </c>
      <c r="J59" s="139">
        <f t="shared" si="5"/>
        <v>0</v>
      </c>
      <c r="K59" s="138"/>
      <c r="L59" s="11"/>
      <c r="M59" s="11"/>
      <c r="N59" s="11"/>
      <c r="O59" s="52"/>
    </row>
    <row r="60" spans="2:15" x14ac:dyDescent="0.25">
      <c r="B60" s="135">
        <f>B59+1</f>
        <v>19</v>
      </c>
      <c r="C60" s="314" t="s">
        <v>585</v>
      </c>
      <c r="D60" s="314"/>
      <c r="E60" s="314"/>
      <c r="F60" s="314"/>
      <c r="G60" s="128">
        <f>G61/100*G62*(G63/12)</f>
        <v>9569.6045999999988</v>
      </c>
      <c r="H60" s="291">
        <f>G60</f>
        <v>9569.6045999999988</v>
      </c>
      <c r="I60" s="137">
        <f>IFERROR(H60/'Income &amp; Expenses'!$F$19,)</f>
        <v>56.961932142857137</v>
      </c>
      <c r="J60" s="139">
        <f t="shared" si="5"/>
        <v>9569.6045999999988</v>
      </c>
      <c r="K60" s="138"/>
      <c r="L60" s="11"/>
      <c r="M60" s="11"/>
      <c r="N60" s="11"/>
      <c r="O60" s="284"/>
    </row>
    <row r="61" spans="2:15" hidden="1" outlineLevel="1" x14ac:dyDescent="0.25">
      <c r="B61" s="147" t="str">
        <f>B60&amp;"a"</f>
        <v>19a</v>
      </c>
      <c r="C61" s="320" t="s">
        <v>648</v>
      </c>
      <c r="D61" s="320"/>
      <c r="E61" s="320"/>
      <c r="F61" s="320"/>
      <c r="G61" s="159">
        <f>111900+86400+63300+63300</f>
        <v>324900</v>
      </c>
      <c r="H61" s="139"/>
      <c r="I61" s="139"/>
      <c r="J61" s="139">
        <f t="shared" si="5"/>
        <v>0</v>
      </c>
      <c r="K61" s="139"/>
      <c r="L61" s="11"/>
      <c r="M61" s="11"/>
      <c r="N61" s="11"/>
      <c r="O61" s="52"/>
    </row>
    <row r="62" spans="2:15" hidden="1" outlineLevel="1" x14ac:dyDescent="0.25">
      <c r="B62" s="147" t="str">
        <f>B60&amp;"b"</f>
        <v>19b</v>
      </c>
      <c r="C62" s="320" t="s">
        <v>652</v>
      </c>
      <c r="D62" s="320"/>
      <c r="E62" s="320"/>
      <c r="F62" s="320"/>
      <c r="G62" s="160">
        <f>0.578+0.4038</f>
        <v>0.98180000000000001</v>
      </c>
      <c r="H62" s="139"/>
      <c r="I62" s="139"/>
      <c r="J62" s="139">
        <f t="shared" si="5"/>
        <v>0</v>
      </c>
      <c r="K62" s="139"/>
      <c r="L62" s="11"/>
      <c r="M62" s="11"/>
      <c r="N62" s="11"/>
      <c r="O62" s="52"/>
    </row>
    <row r="63" spans="2:15" hidden="1" outlineLevel="1" x14ac:dyDescent="0.25">
      <c r="B63" s="147" t="str">
        <f>B60&amp;"c"</f>
        <v>19c</v>
      </c>
      <c r="C63" s="320" t="s">
        <v>649</v>
      </c>
      <c r="D63" s="320"/>
      <c r="E63" s="320"/>
      <c r="F63" s="320"/>
      <c r="G63" s="161">
        <v>36</v>
      </c>
      <c r="H63" s="139"/>
      <c r="I63" s="139"/>
      <c r="J63" s="139">
        <f t="shared" si="5"/>
        <v>0</v>
      </c>
      <c r="K63" s="139"/>
      <c r="L63" s="11"/>
      <c r="M63" s="11"/>
      <c r="N63" s="11"/>
      <c r="O63" s="52"/>
    </row>
    <row r="64" spans="2:15" collapsed="1" x14ac:dyDescent="0.25">
      <c r="B64" s="135">
        <f>B60+1</f>
        <v>20</v>
      </c>
      <c r="C64" s="314" t="s">
        <v>586</v>
      </c>
      <c r="D64" s="314"/>
      <c r="E64" s="314"/>
      <c r="F64" s="314"/>
      <c r="G64" s="22"/>
      <c r="H64" s="309">
        <f>1750*'Income &amp; Expenses'!F19</f>
        <v>294000</v>
      </c>
      <c r="I64" s="137">
        <f>IFERROR(H64/'Income &amp; Expenses'!$F$19,)</f>
        <v>1750</v>
      </c>
      <c r="J64" s="139">
        <f t="shared" si="5"/>
        <v>294000</v>
      </c>
      <c r="K64" s="138"/>
      <c r="L64" s="11"/>
      <c r="M64" s="11"/>
      <c r="N64" s="11"/>
      <c r="O64" s="52"/>
    </row>
    <row r="65" spans="2:15" hidden="1" outlineLevel="1" x14ac:dyDescent="0.25">
      <c r="B65" s="147" t="str">
        <f>B64&amp;"a"</f>
        <v>20a</v>
      </c>
      <c r="C65" s="320" t="s">
        <v>654</v>
      </c>
      <c r="D65" s="320"/>
      <c r="E65" s="320"/>
      <c r="F65" s="162">
        <v>0</v>
      </c>
      <c r="G65" s="163">
        <f>F65*'Income &amp; Expenses'!$F$19</f>
        <v>0</v>
      </c>
      <c r="H65" s="139"/>
      <c r="I65" s="139"/>
      <c r="J65" s="139">
        <f t="shared" si="5"/>
        <v>0</v>
      </c>
      <c r="K65" s="139"/>
      <c r="L65" s="11"/>
      <c r="M65" s="11"/>
      <c r="N65" s="11"/>
      <c r="O65" s="284" t="s">
        <v>727</v>
      </c>
    </row>
    <row r="66" spans="2:15" hidden="1" outlineLevel="1" x14ac:dyDescent="0.25">
      <c r="B66" s="147" t="str">
        <f>B64&amp;"b"</f>
        <v>20b</v>
      </c>
      <c r="C66" s="320" t="s">
        <v>655</v>
      </c>
      <c r="D66" s="320"/>
      <c r="E66" s="320"/>
      <c r="F66" s="162">
        <v>0</v>
      </c>
      <c r="G66" s="163">
        <f>F66*'Income &amp; Expenses'!$F$19</f>
        <v>0</v>
      </c>
      <c r="H66" s="139"/>
      <c r="I66" s="139"/>
      <c r="J66" s="139">
        <f t="shared" si="5"/>
        <v>0</v>
      </c>
      <c r="K66" s="139"/>
      <c r="L66" s="11"/>
      <c r="M66" s="11"/>
      <c r="N66" s="11"/>
      <c r="O66" s="284" t="s">
        <v>727</v>
      </c>
    </row>
    <row r="67" spans="2:15" hidden="1" outlineLevel="1" x14ac:dyDescent="0.25">
      <c r="B67" s="147" t="str">
        <f>B64&amp;"c"</f>
        <v>20c</v>
      </c>
      <c r="C67" s="320" t="s">
        <v>656</v>
      </c>
      <c r="D67" s="320"/>
      <c r="E67" s="320"/>
      <c r="F67" s="162">
        <v>0</v>
      </c>
      <c r="G67" s="163">
        <f>F67*'Income &amp; Expenses'!$F$19</f>
        <v>0</v>
      </c>
      <c r="H67" s="139"/>
      <c r="I67" s="139"/>
      <c r="J67" s="139">
        <f t="shared" si="5"/>
        <v>0</v>
      </c>
      <c r="K67" s="139"/>
      <c r="L67" s="11"/>
      <c r="M67" s="11"/>
      <c r="N67" s="11"/>
      <c r="O67" s="284" t="s">
        <v>727</v>
      </c>
    </row>
    <row r="68" spans="2:15" hidden="1" outlineLevel="1" x14ac:dyDescent="0.25">
      <c r="B68" s="147" t="str">
        <f>B64&amp;"d"</f>
        <v>20d</v>
      </c>
      <c r="C68" s="320" t="s">
        <v>632</v>
      </c>
      <c r="D68" s="320"/>
      <c r="E68" s="320"/>
      <c r="F68" s="162">
        <v>0</v>
      </c>
      <c r="G68" s="163">
        <f>F68*'Income &amp; Expenses'!$F$19</f>
        <v>0</v>
      </c>
      <c r="H68" s="139"/>
      <c r="I68" s="139"/>
      <c r="J68" s="139">
        <f t="shared" si="5"/>
        <v>0</v>
      </c>
      <c r="K68" s="139"/>
      <c r="L68" s="11"/>
      <c r="M68" s="11"/>
      <c r="N68" s="11"/>
      <c r="O68" s="284" t="s">
        <v>727</v>
      </c>
    </row>
    <row r="69" spans="2:15" collapsed="1" x14ac:dyDescent="0.25">
      <c r="B69" s="135">
        <f>B64+1</f>
        <v>21</v>
      </c>
      <c r="C69" s="314" t="s">
        <v>587</v>
      </c>
      <c r="D69" s="314"/>
      <c r="E69" s="314"/>
      <c r="F69" s="314"/>
      <c r="G69" s="22"/>
      <c r="H69" s="136">
        <v>14000</v>
      </c>
      <c r="I69" s="137">
        <f>IFERROR(H69/'Income &amp; Expenses'!$F$19,)</f>
        <v>83.333333333333329</v>
      </c>
      <c r="J69" s="139">
        <f t="shared" si="5"/>
        <v>14000</v>
      </c>
      <c r="K69" s="138"/>
      <c r="L69" s="11"/>
      <c r="M69" s="11"/>
      <c r="N69" s="11"/>
      <c r="O69" s="52"/>
    </row>
    <row r="70" spans="2:15" x14ac:dyDescent="0.25">
      <c r="B70" s="135">
        <f t="shared" si="4"/>
        <v>22</v>
      </c>
      <c r="C70" s="323" t="s">
        <v>588</v>
      </c>
      <c r="D70" s="323"/>
      <c r="E70" s="323"/>
      <c r="F70" s="323"/>
      <c r="G70" s="242"/>
      <c r="H70" s="247">
        <v>11000</v>
      </c>
      <c r="I70" s="137">
        <f>IFERROR(H70/'Income &amp; Expenses'!$F$19,)</f>
        <v>65.476190476190482</v>
      </c>
      <c r="J70" s="139">
        <f t="shared" si="5"/>
        <v>11000</v>
      </c>
      <c r="K70" s="173"/>
      <c r="L70" s="61"/>
      <c r="M70" s="11"/>
      <c r="N70" s="11"/>
      <c r="O70" s="52"/>
    </row>
    <row r="71" spans="2:15" x14ac:dyDescent="0.25">
      <c r="B71" s="135">
        <f>B70+1</f>
        <v>23</v>
      </c>
      <c r="C71" s="314" t="s">
        <v>589</v>
      </c>
      <c r="D71" s="314"/>
      <c r="E71" s="314"/>
      <c r="F71" s="314"/>
      <c r="G71" s="22" t="s">
        <v>636</v>
      </c>
      <c r="H71" s="247">
        <f>SUM(G72:G76)</f>
        <v>47500</v>
      </c>
      <c r="I71" s="137">
        <f>IFERROR(H71/'Income &amp; Expenses'!$F$19,)</f>
        <v>282.73809523809524</v>
      </c>
      <c r="J71" s="139">
        <f t="shared" si="5"/>
        <v>47500</v>
      </c>
      <c r="K71" s="138"/>
      <c r="L71" s="11"/>
      <c r="M71" s="11"/>
      <c r="N71" s="11"/>
      <c r="O71" s="52"/>
    </row>
    <row r="72" spans="2:15" ht="15" hidden="1" customHeight="1" outlineLevel="1" x14ac:dyDescent="0.25">
      <c r="B72" s="147" t="str">
        <f>B71&amp;"a"</f>
        <v>23a</v>
      </c>
      <c r="C72" s="320" t="s">
        <v>633</v>
      </c>
      <c r="D72" s="320"/>
      <c r="E72" s="320"/>
      <c r="F72" s="320"/>
      <c r="G72" s="164">
        <v>3500</v>
      </c>
      <c r="H72" s="139"/>
      <c r="I72" s="139"/>
      <c r="J72" s="139">
        <f t="shared" si="5"/>
        <v>0</v>
      </c>
      <c r="K72" s="139"/>
      <c r="L72" s="11"/>
      <c r="M72" s="11"/>
      <c r="N72" s="11"/>
      <c r="O72" s="52" t="s">
        <v>698</v>
      </c>
    </row>
    <row r="73" spans="2:15" ht="15" hidden="1" customHeight="1" outlineLevel="1" x14ac:dyDescent="0.25">
      <c r="B73" s="147" t="str">
        <f>B71&amp;"b"</f>
        <v>23b</v>
      </c>
      <c r="C73" s="320" t="s">
        <v>634</v>
      </c>
      <c r="D73" s="320"/>
      <c r="E73" s="320"/>
      <c r="F73" s="320"/>
      <c r="G73" s="164">
        <v>6000</v>
      </c>
      <c r="H73" s="11"/>
      <c r="I73" s="139"/>
      <c r="J73" s="139">
        <f t="shared" si="5"/>
        <v>0</v>
      </c>
      <c r="K73" s="139"/>
      <c r="L73" s="11"/>
      <c r="M73" s="11"/>
      <c r="N73" s="11"/>
      <c r="O73" s="52"/>
    </row>
    <row r="74" spans="2:15" ht="15" hidden="1" customHeight="1" outlineLevel="1" x14ac:dyDescent="0.25">
      <c r="B74" s="147" t="str">
        <f>B71&amp;"c"</f>
        <v>23c</v>
      </c>
      <c r="C74" s="320" t="s">
        <v>722</v>
      </c>
      <c r="D74" s="320"/>
      <c r="E74" s="320"/>
      <c r="F74" s="320"/>
      <c r="G74" s="164">
        <v>3000</v>
      </c>
      <c r="H74" s="11"/>
      <c r="I74" s="139"/>
      <c r="J74" s="139">
        <f t="shared" si="5"/>
        <v>0</v>
      </c>
      <c r="K74" s="139"/>
      <c r="L74" s="11"/>
      <c r="M74" s="11"/>
      <c r="N74" s="11"/>
      <c r="O74" s="52"/>
    </row>
    <row r="75" spans="2:15" ht="15" hidden="1" customHeight="1" outlineLevel="1" x14ac:dyDescent="0.25">
      <c r="B75" s="147" t="str">
        <f>B71&amp;"d"</f>
        <v>23d</v>
      </c>
      <c r="C75" s="320" t="s">
        <v>635</v>
      </c>
      <c r="D75" s="320"/>
      <c r="E75" s="320"/>
      <c r="F75" s="320"/>
      <c r="G75" s="164"/>
      <c r="H75" s="11"/>
      <c r="I75" s="139"/>
      <c r="J75" s="139">
        <f t="shared" si="5"/>
        <v>0</v>
      </c>
      <c r="K75" s="139"/>
      <c r="L75" s="11"/>
      <c r="M75" s="11"/>
      <c r="N75" s="11"/>
      <c r="O75" s="52"/>
    </row>
    <row r="76" spans="2:15" ht="15" hidden="1" customHeight="1" outlineLevel="1" x14ac:dyDescent="0.25">
      <c r="B76" s="147" t="str">
        <f>B71&amp;"e"</f>
        <v>23e</v>
      </c>
      <c r="C76" s="320" t="s">
        <v>726</v>
      </c>
      <c r="D76" s="320"/>
      <c r="E76" s="320"/>
      <c r="F76" s="320"/>
      <c r="G76" s="164">
        <v>35000</v>
      </c>
      <c r="H76" s="11"/>
      <c r="I76" s="139"/>
      <c r="J76" s="139">
        <f t="shared" si="5"/>
        <v>0</v>
      </c>
      <c r="K76" s="139"/>
      <c r="L76" s="11"/>
      <c r="M76" s="11"/>
      <c r="N76" s="11"/>
      <c r="O76" s="52"/>
    </row>
    <row r="77" spans="2:15" collapsed="1" x14ac:dyDescent="0.25">
      <c r="B77" s="135">
        <f>B71+1</f>
        <v>24</v>
      </c>
      <c r="C77" s="314" t="s">
        <v>590</v>
      </c>
      <c r="D77" s="314"/>
      <c r="E77" s="314"/>
      <c r="F77" s="314"/>
      <c r="G77" s="11"/>
      <c r="H77" s="136">
        <v>4400</v>
      </c>
      <c r="I77" s="137">
        <f>IFERROR(H77/'Income &amp; Expenses'!$F$19,)</f>
        <v>26.19047619047619</v>
      </c>
      <c r="J77" s="139">
        <f t="shared" si="5"/>
        <v>4400</v>
      </c>
      <c r="K77" s="138"/>
      <c r="L77" s="11"/>
      <c r="M77" s="11"/>
      <c r="N77" s="11"/>
      <c r="O77" s="52"/>
    </row>
    <row r="78" spans="2:15" x14ac:dyDescent="0.25">
      <c r="B78" s="135">
        <f t="shared" si="4"/>
        <v>25</v>
      </c>
      <c r="C78" s="314" t="s">
        <v>591</v>
      </c>
      <c r="D78" s="314"/>
      <c r="E78" s="314"/>
      <c r="F78" s="314"/>
      <c r="G78" s="11"/>
      <c r="H78" s="247">
        <v>200000</v>
      </c>
      <c r="I78" s="137">
        <f>IFERROR(H78/'Income &amp; Expenses'!$F$19,)</f>
        <v>1190.4761904761904</v>
      </c>
      <c r="J78" s="11"/>
      <c r="K78" s="138"/>
      <c r="L78" s="11"/>
      <c r="M78" s="11"/>
      <c r="N78" s="11"/>
      <c r="O78" s="52"/>
    </row>
    <row r="79" spans="2:15" x14ac:dyDescent="0.25">
      <c r="B79" s="135">
        <f t="shared" si="4"/>
        <v>26</v>
      </c>
      <c r="C79" s="314" t="s">
        <v>592</v>
      </c>
      <c r="D79" s="314"/>
      <c r="E79" s="314"/>
      <c r="F79" s="314"/>
      <c r="G79" s="11"/>
      <c r="H79" s="247">
        <f>(0.01*E9)</f>
        <v>88000</v>
      </c>
      <c r="I79" s="137">
        <f>IFERROR(H79/'Income &amp; Expenses'!$F$19,)</f>
        <v>523.80952380952385</v>
      </c>
      <c r="J79" s="11"/>
      <c r="K79" s="138"/>
      <c r="L79" s="11"/>
      <c r="M79" s="11"/>
      <c r="N79" s="11"/>
      <c r="O79" s="52"/>
    </row>
    <row r="80" spans="2:15" x14ac:dyDescent="0.25">
      <c r="B80" s="135">
        <f t="shared" si="4"/>
        <v>27</v>
      </c>
      <c r="C80" s="314" t="s">
        <v>593</v>
      </c>
      <c r="D80" s="314"/>
      <c r="E80" s="314"/>
      <c r="F80" s="314"/>
      <c r="G80" s="11"/>
      <c r="H80" s="304">
        <v>0</v>
      </c>
      <c r="I80" s="137">
        <f>IFERROR(H80/'Income &amp; Expenses'!$F$19,)</f>
        <v>0</v>
      </c>
      <c r="J80" s="11"/>
      <c r="K80" s="138"/>
      <c r="L80" s="11"/>
      <c r="M80" s="11"/>
      <c r="N80" s="11"/>
      <c r="O80" s="52"/>
    </row>
    <row r="81" spans="2:15" x14ac:dyDescent="0.25">
      <c r="B81" s="135">
        <f t="shared" si="4"/>
        <v>28</v>
      </c>
      <c r="C81" s="314" t="s">
        <v>756</v>
      </c>
      <c r="D81" s="314"/>
      <c r="E81" s="314"/>
      <c r="F81" s="314"/>
      <c r="G81" s="127"/>
      <c r="H81" s="247">
        <f>(1%*E10)+(0.025*E9)</f>
        <v>290000</v>
      </c>
      <c r="I81" s="137">
        <f>IFERROR(H81/'Income &amp; Expenses'!$F$19,)</f>
        <v>1726.1904761904761</v>
      </c>
      <c r="J81" s="11"/>
      <c r="K81" s="165"/>
      <c r="L81" s="11"/>
      <c r="M81" s="11"/>
      <c r="N81" s="11"/>
      <c r="O81" s="52"/>
    </row>
    <row r="82" spans="2:15" x14ac:dyDescent="0.25">
      <c r="B82" s="135">
        <f t="shared" si="4"/>
        <v>29</v>
      </c>
      <c r="C82" s="314" t="s">
        <v>758</v>
      </c>
      <c r="D82" s="314"/>
      <c r="E82" s="314"/>
      <c r="F82" s="314"/>
      <c r="G82" s="11">
        <v>2</v>
      </c>
      <c r="H82" s="247">
        <v>0</v>
      </c>
      <c r="I82" s="137">
        <f>IFERROR(H82/'Income &amp; Expenses'!$F$19,)</f>
        <v>0</v>
      </c>
      <c r="J82" s="11"/>
      <c r="K82" s="166"/>
      <c r="L82" s="11"/>
      <c r="M82" s="11"/>
      <c r="N82" s="11"/>
      <c r="O82" s="52"/>
    </row>
    <row r="83" spans="2:15" x14ac:dyDescent="0.25">
      <c r="B83" s="135">
        <f t="shared" si="4"/>
        <v>30</v>
      </c>
      <c r="C83" s="314" t="s">
        <v>594</v>
      </c>
      <c r="D83" s="314"/>
      <c r="E83" s="314"/>
      <c r="F83" s="314"/>
      <c r="G83" s="11"/>
      <c r="H83" s="136">
        <v>35000</v>
      </c>
      <c r="I83" s="137">
        <f>IFERROR(H83/'Income &amp; Expenses'!$F$19,)</f>
        <v>208.33333333333334</v>
      </c>
      <c r="J83" s="11"/>
      <c r="K83" s="165"/>
      <c r="L83" s="11"/>
      <c r="M83" s="11"/>
      <c r="N83" s="11"/>
      <c r="O83" s="52"/>
    </row>
    <row r="84" spans="2:15" x14ac:dyDescent="0.25">
      <c r="B84" s="135"/>
      <c r="C84" s="318" t="str">
        <f>"SUBTOTAL (lines "&amp;B36&amp;" through "&amp;B83&amp;")"</f>
        <v>SUBTOTAL (lines 15 through 30)</v>
      </c>
      <c r="D84" s="319"/>
      <c r="E84" s="319"/>
      <c r="F84" s="319"/>
      <c r="G84" s="174"/>
      <c r="H84" s="143">
        <f>SUM(H36:H83)</f>
        <v>1515040.6046</v>
      </c>
      <c r="I84" s="144">
        <f>IFERROR(H84/'Income &amp; Expenses'!$F$19,)</f>
        <v>9018.0988369047609</v>
      </c>
      <c r="J84" s="23"/>
      <c r="K84" s="167"/>
      <c r="L84" s="11"/>
      <c r="M84" s="11"/>
      <c r="N84" s="11"/>
      <c r="O84" s="52"/>
    </row>
    <row r="85" spans="2:15" ht="15" customHeight="1" x14ac:dyDescent="0.25">
      <c r="B85" s="135">
        <f>B83+1</f>
        <v>31</v>
      </c>
      <c r="C85" s="314" t="s">
        <v>595</v>
      </c>
      <c r="D85" s="314"/>
      <c r="E85" s="314"/>
      <c r="F85" s="314"/>
      <c r="G85" s="168"/>
      <c r="H85" s="312">
        <f>SUM(G87:G93)</f>
        <v>73000</v>
      </c>
      <c r="I85" s="137">
        <f>IFERROR(H85/'Income &amp; Expenses'!$F$19,)</f>
        <v>434.52380952380952</v>
      </c>
      <c r="J85" s="139">
        <f>+H85</f>
        <v>73000</v>
      </c>
      <c r="K85" s="166"/>
      <c r="L85" s="11"/>
      <c r="M85" s="11"/>
      <c r="N85" s="11"/>
      <c r="O85" s="52"/>
    </row>
    <row r="86" spans="2:15" hidden="1" outlineLevel="1" x14ac:dyDescent="0.25">
      <c r="B86" s="147" t="str">
        <f>B85&amp;"a"</f>
        <v>31a</v>
      </c>
      <c r="C86" s="315" t="s">
        <v>668</v>
      </c>
      <c r="D86" s="315"/>
      <c r="E86" s="148" t="s">
        <v>650</v>
      </c>
      <c r="F86" s="148" t="s">
        <v>651</v>
      </c>
      <c r="G86" s="148" t="s">
        <v>502</v>
      </c>
      <c r="H86" s="150"/>
      <c r="I86" s="139"/>
      <c r="J86" s="139">
        <f t="shared" ref="J86:J94" si="10">+H86</f>
        <v>0</v>
      </c>
      <c r="K86" s="169"/>
      <c r="L86" s="11"/>
      <c r="M86" s="11"/>
      <c r="N86" s="11"/>
      <c r="O86" s="52"/>
    </row>
    <row r="87" spans="2:15" hidden="1" outlineLevel="1" x14ac:dyDescent="0.25">
      <c r="B87" s="147" t="str">
        <f>B85&amp;"b"</f>
        <v>31b</v>
      </c>
      <c r="C87" s="316" t="str">
        <f>C9</f>
        <v>First Mortgage</v>
      </c>
      <c r="D87" s="317"/>
      <c r="E87" s="170">
        <v>6000</v>
      </c>
      <c r="F87" s="170">
        <v>8000</v>
      </c>
      <c r="G87" s="171">
        <f>SUM(E87:F87)</f>
        <v>14000</v>
      </c>
      <c r="H87" s="120"/>
      <c r="I87" s="139"/>
      <c r="J87" s="139">
        <f t="shared" si="10"/>
        <v>0</v>
      </c>
      <c r="K87" s="169"/>
      <c r="L87" s="11"/>
      <c r="M87" s="11"/>
      <c r="N87" s="11"/>
      <c r="O87" s="52"/>
    </row>
    <row r="88" spans="2:15" hidden="1" outlineLevel="1" x14ac:dyDescent="0.25">
      <c r="B88" s="147" t="str">
        <f>B85&amp;"c"</f>
        <v>31c</v>
      </c>
      <c r="C88" s="316" t="str">
        <f>C10</f>
        <v>City of Raleigh</v>
      </c>
      <c r="D88" s="317"/>
      <c r="E88" s="170">
        <v>6000</v>
      </c>
      <c r="F88" s="170">
        <v>10000</v>
      </c>
      <c r="G88" s="171">
        <f t="shared" ref="G88:G92" si="11">SUM(E88:F88)</f>
        <v>16000</v>
      </c>
      <c r="H88" s="139"/>
      <c r="I88" s="139"/>
      <c r="J88" s="139">
        <f t="shared" si="10"/>
        <v>0</v>
      </c>
      <c r="K88" s="169"/>
      <c r="L88" s="11"/>
      <c r="M88" s="11"/>
      <c r="N88" s="11"/>
      <c r="O88" s="52"/>
    </row>
    <row r="89" spans="2:15" hidden="1" outlineLevel="1" x14ac:dyDescent="0.25">
      <c r="B89" s="147" t="str">
        <f>B85&amp;"d"</f>
        <v>31d</v>
      </c>
      <c r="C89" s="316" t="s">
        <v>754</v>
      </c>
      <c r="D89" s="317"/>
      <c r="E89" s="170">
        <v>8000</v>
      </c>
      <c r="F89" s="170">
        <v>12000</v>
      </c>
      <c r="G89" s="171">
        <f t="shared" si="11"/>
        <v>20000</v>
      </c>
      <c r="H89" s="139"/>
      <c r="I89" s="139"/>
      <c r="J89" s="139">
        <f t="shared" si="10"/>
        <v>0</v>
      </c>
      <c r="K89" s="169"/>
      <c r="L89" s="11"/>
      <c r="M89" s="11"/>
      <c r="N89" s="11"/>
      <c r="O89" s="285" t="s">
        <v>728</v>
      </c>
    </row>
    <row r="90" spans="2:15" hidden="1" outlineLevel="1" x14ac:dyDescent="0.25">
      <c r="B90" s="147" t="str">
        <f>B85&amp;"e"</f>
        <v>31e</v>
      </c>
      <c r="C90" s="316" t="s">
        <v>755</v>
      </c>
      <c r="D90" s="317"/>
      <c r="E90" s="170">
        <v>8000</v>
      </c>
      <c r="F90" s="170">
        <v>15000</v>
      </c>
      <c r="G90" s="171">
        <f t="shared" si="11"/>
        <v>23000</v>
      </c>
      <c r="H90" s="139"/>
      <c r="I90" s="139"/>
      <c r="J90" s="139">
        <f t="shared" si="10"/>
        <v>0</v>
      </c>
      <c r="K90" s="169"/>
      <c r="L90" s="11"/>
      <c r="M90" s="11"/>
      <c r="N90" s="11"/>
      <c r="O90" s="52"/>
    </row>
    <row r="91" spans="2:15" hidden="1" outlineLevel="1" x14ac:dyDescent="0.25">
      <c r="B91" s="147" t="str">
        <f>B85&amp;"f"</f>
        <v>31f</v>
      </c>
      <c r="C91" s="316"/>
      <c r="D91" s="317"/>
      <c r="E91" s="170"/>
      <c r="F91" s="170"/>
      <c r="G91" s="171">
        <f t="shared" si="11"/>
        <v>0</v>
      </c>
      <c r="H91" s="139"/>
      <c r="I91" s="139"/>
      <c r="J91" s="139">
        <f t="shared" si="10"/>
        <v>0</v>
      </c>
      <c r="K91" s="169"/>
      <c r="L91" s="11"/>
      <c r="M91" s="11"/>
      <c r="N91" s="11"/>
      <c r="O91" s="52"/>
    </row>
    <row r="92" spans="2:15" hidden="1" outlineLevel="1" x14ac:dyDescent="0.25">
      <c r="B92" s="147" t="str">
        <f>B85&amp;"g"</f>
        <v>31g</v>
      </c>
      <c r="C92" s="316"/>
      <c r="D92" s="317"/>
      <c r="E92" s="170"/>
      <c r="F92" s="170"/>
      <c r="G92" s="171">
        <f t="shared" si="11"/>
        <v>0</v>
      </c>
      <c r="H92" s="139"/>
      <c r="I92" s="139"/>
      <c r="J92" s="139">
        <f t="shared" si="10"/>
        <v>0</v>
      </c>
      <c r="K92" s="169"/>
      <c r="L92" s="11"/>
      <c r="M92" s="11"/>
      <c r="N92" s="11"/>
      <c r="O92" s="52"/>
    </row>
    <row r="93" spans="2:15" hidden="1" outlineLevel="1" x14ac:dyDescent="0.25">
      <c r="B93" s="147" t="str">
        <f>B85&amp;"h"</f>
        <v>31h</v>
      </c>
      <c r="C93" s="316" t="str">
        <f>C14</f>
        <v>Federal LIHTC Equity</v>
      </c>
      <c r="D93" s="317"/>
      <c r="E93" s="170"/>
      <c r="F93" s="170"/>
      <c r="G93" s="171">
        <f>SUM(E93:F93)</f>
        <v>0</v>
      </c>
      <c r="H93" s="139"/>
      <c r="I93" s="139"/>
      <c r="J93" s="139">
        <f t="shared" si="10"/>
        <v>0</v>
      </c>
      <c r="K93" s="169"/>
      <c r="L93" s="11"/>
      <c r="M93" s="11"/>
      <c r="N93" s="11"/>
      <c r="O93" s="52"/>
    </row>
    <row r="94" spans="2:15" collapsed="1" x14ac:dyDescent="0.25">
      <c r="B94" s="135">
        <f>B85+1</f>
        <v>32</v>
      </c>
      <c r="C94" s="314" t="s">
        <v>596</v>
      </c>
      <c r="D94" s="314"/>
      <c r="E94" s="314"/>
      <c r="F94" s="314"/>
      <c r="G94" s="11"/>
      <c r="H94" s="136">
        <f>20000+75000+50000</f>
        <v>145000</v>
      </c>
      <c r="I94" s="137">
        <f>IFERROR(H94/'Income &amp; Expenses'!$F$19,)</f>
        <v>863.09523809523807</v>
      </c>
      <c r="J94" s="313">
        <f t="shared" si="10"/>
        <v>145000</v>
      </c>
      <c r="K94" s="166"/>
      <c r="L94" s="11"/>
      <c r="M94" s="11"/>
      <c r="N94" s="11"/>
      <c r="O94" s="52"/>
    </row>
    <row r="95" spans="2:15" x14ac:dyDescent="0.25">
      <c r="B95" s="135">
        <f t="shared" si="4"/>
        <v>33</v>
      </c>
      <c r="C95" s="314" t="s">
        <v>721</v>
      </c>
      <c r="D95" s="314"/>
      <c r="E95" s="314"/>
      <c r="F95" s="314"/>
      <c r="G95" s="11"/>
      <c r="H95" s="136">
        <f>1280+1280</f>
        <v>2560</v>
      </c>
      <c r="I95" s="137">
        <f>IFERROR(H95/'Income &amp; Expenses'!$F$19,)</f>
        <v>15.238095238095237</v>
      </c>
      <c r="J95" s="11"/>
      <c r="K95" s="165"/>
      <c r="L95" s="11"/>
      <c r="M95" s="11"/>
      <c r="N95" s="11"/>
      <c r="O95" s="52"/>
    </row>
    <row r="96" spans="2:15" x14ac:dyDescent="0.25">
      <c r="B96" s="135">
        <f t="shared" si="4"/>
        <v>34</v>
      </c>
      <c r="C96" s="314" t="s">
        <v>710</v>
      </c>
      <c r="D96" s="314"/>
      <c r="E96" s="314"/>
      <c r="F96" s="314"/>
      <c r="G96" s="172">
        <v>7.4000000000000003E-3</v>
      </c>
      <c r="H96" s="173">
        <f>0.0074*J129</f>
        <v>194850.61994214341</v>
      </c>
      <c r="I96" s="137">
        <f>IFERROR(H96/'Income &amp; Expenses'!$F$19,)</f>
        <v>1159.8251187032347</v>
      </c>
      <c r="J96" s="11"/>
      <c r="K96" s="165"/>
      <c r="L96" s="11"/>
      <c r="M96" s="11"/>
      <c r="N96" s="11"/>
      <c r="O96" s="52"/>
    </row>
    <row r="97" spans="2:15" x14ac:dyDescent="0.25">
      <c r="B97" s="135">
        <f t="shared" si="4"/>
        <v>35</v>
      </c>
      <c r="C97" s="314" t="s">
        <v>711</v>
      </c>
      <c r="D97" s="314"/>
      <c r="E97" s="314"/>
      <c r="F97" s="314"/>
      <c r="G97" s="120">
        <v>1500</v>
      </c>
      <c r="H97" s="136">
        <v>0</v>
      </c>
      <c r="I97" s="137">
        <f>IFERROR(H97/'Income &amp; Expenses'!$F$19,)</f>
        <v>0</v>
      </c>
      <c r="J97" s="11"/>
      <c r="K97" s="165"/>
      <c r="L97" s="11"/>
      <c r="M97" s="11"/>
      <c r="N97" s="11"/>
      <c r="O97" s="52"/>
    </row>
    <row r="98" spans="2:15" x14ac:dyDescent="0.25">
      <c r="B98" s="135">
        <f t="shared" si="4"/>
        <v>36</v>
      </c>
      <c r="C98" s="314" t="s">
        <v>597</v>
      </c>
      <c r="D98" s="314"/>
      <c r="E98" s="314"/>
      <c r="F98" s="314"/>
      <c r="G98" s="120">
        <v>2000</v>
      </c>
      <c r="H98" s="136">
        <v>0</v>
      </c>
      <c r="I98" s="137">
        <f>IFERROR(H98/'Income &amp; Expenses'!$F$19,)</f>
        <v>0</v>
      </c>
      <c r="J98" s="11"/>
      <c r="K98" s="165"/>
      <c r="L98" s="11"/>
      <c r="M98" s="11"/>
      <c r="N98" s="11"/>
      <c r="O98" s="52"/>
    </row>
    <row r="99" spans="2:15" x14ac:dyDescent="0.25">
      <c r="B99" s="135">
        <f t="shared" si="4"/>
        <v>37</v>
      </c>
      <c r="C99" s="314" t="s">
        <v>598</v>
      </c>
      <c r="D99" s="314"/>
      <c r="E99" s="314"/>
      <c r="F99" s="314"/>
      <c r="G99" s="11"/>
      <c r="H99" s="136">
        <v>18000</v>
      </c>
      <c r="I99" s="137">
        <f>IFERROR(H99/'Income &amp; Expenses'!$F$19,)</f>
        <v>107.14285714285714</v>
      </c>
      <c r="J99" s="139">
        <f>+H99</f>
        <v>18000</v>
      </c>
      <c r="K99" s="166"/>
      <c r="L99" s="11"/>
      <c r="M99" s="11"/>
      <c r="N99" s="11"/>
      <c r="O99" s="52"/>
    </row>
    <row r="100" spans="2:15" x14ac:dyDescent="0.25">
      <c r="B100" s="135">
        <f t="shared" si="4"/>
        <v>38</v>
      </c>
      <c r="C100" s="314" t="s">
        <v>599</v>
      </c>
      <c r="D100" s="314"/>
      <c r="E100" s="314"/>
      <c r="F100" s="314"/>
      <c r="G100" s="11"/>
      <c r="H100" s="136">
        <v>0</v>
      </c>
      <c r="I100" s="137">
        <f>IFERROR(H100/'Income &amp; Expenses'!$F$19,)</f>
        <v>0</v>
      </c>
      <c r="J100" s="11"/>
      <c r="K100" s="166"/>
      <c r="L100" s="11"/>
      <c r="M100" s="11"/>
      <c r="N100" s="11"/>
      <c r="O100" s="52"/>
    </row>
    <row r="101" spans="2:15" x14ac:dyDescent="0.25">
      <c r="B101" s="135">
        <f t="shared" si="4"/>
        <v>39</v>
      </c>
      <c r="C101" s="314" t="s">
        <v>600</v>
      </c>
      <c r="D101" s="314"/>
      <c r="E101" s="314"/>
      <c r="F101" s="314"/>
      <c r="G101" s="11"/>
      <c r="H101" s="136">
        <v>10000</v>
      </c>
      <c r="I101" s="137">
        <f>IFERROR(H101/'Income &amp; Expenses'!$F$19,)</f>
        <v>59.523809523809526</v>
      </c>
      <c r="J101" s="11"/>
      <c r="K101" s="165"/>
      <c r="L101" s="11"/>
      <c r="M101" s="11"/>
      <c r="N101" s="11"/>
      <c r="O101" s="52"/>
    </row>
    <row r="102" spans="2:15" x14ac:dyDescent="0.25">
      <c r="B102" s="135">
        <f>B101+1</f>
        <v>40</v>
      </c>
      <c r="C102" s="314" t="s">
        <v>641</v>
      </c>
      <c r="D102" s="314"/>
      <c r="E102" s="314"/>
      <c r="F102" s="314"/>
      <c r="G102" s="270">
        <v>820</v>
      </c>
      <c r="H102" s="137">
        <f>G102*'Income &amp; Expenses'!F19</f>
        <v>137760</v>
      </c>
      <c r="I102" s="137">
        <f>IFERROR(H102/'Income &amp; Expenses'!$F$19,)</f>
        <v>820</v>
      </c>
      <c r="J102" s="11"/>
      <c r="K102" s="165"/>
      <c r="L102" s="11"/>
      <c r="M102" s="11"/>
      <c r="N102" s="11"/>
      <c r="O102" s="52"/>
    </row>
    <row r="103" spans="2:15" x14ac:dyDescent="0.25">
      <c r="C103" s="318" t="str">
        <f>"SUBTOTAL (lines "&amp;B85&amp;" through "&amp;B102&amp;")"</f>
        <v>SUBTOTAL (lines 31 through 40)</v>
      </c>
      <c r="D103" s="319"/>
      <c r="E103" s="319"/>
      <c r="F103" s="319"/>
      <c r="G103" s="174"/>
      <c r="H103" s="286">
        <f>SUM(H85:H102)</f>
        <v>581170.61994214344</v>
      </c>
      <c r="I103" s="144">
        <f>IFERROR(H103/'Income &amp; Expenses'!$F$19,)</f>
        <v>3459.3489282270443</v>
      </c>
      <c r="J103" s="23"/>
      <c r="K103" s="174"/>
      <c r="L103" s="11"/>
      <c r="M103" s="11"/>
      <c r="N103" s="11"/>
      <c r="O103" s="52"/>
    </row>
    <row r="104" spans="2:15" x14ac:dyDescent="0.25">
      <c r="B104" s="135">
        <f>B102+1</f>
        <v>41</v>
      </c>
      <c r="C104" s="314" t="s">
        <v>601</v>
      </c>
      <c r="D104" s="314"/>
      <c r="E104" s="314"/>
      <c r="F104" s="314"/>
      <c r="G104" s="11"/>
      <c r="H104" s="136">
        <v>90000</v>
      </c>
      <c r="I104" s="137">
        <f>IFERROR(H104/'Income &amp; Expenses'!$F$19,)</f>
        <v>535.71428571428567</v>
      </c>
      <c r="J104" s="139">
        <f>++H104</f>
        <v>90000</v>
      </c>
      <c r="K104" s="138"/>
      <c r="L104" s="11"/>
      <c r="M104" s="11"/>
      <c r="N104" s="11"/>
      <c r="O104" s="52"/>
    </row>
    <row r="105" spans="2:15" x14ac:dyDescent="0.25">
      <c r="B105" s="135">
        <f t="shared" si="4"/>
        <v>42</v>
      </c>
      <c r="C105" s="314" t="s">
        <v>602</v>
      </c>
      <c r="D105" s="314"/>
      <c r="E105" s="314"/>
      <c r="F105" s="314"/>
      <c r="G105" s="11"/>
      <c r="H105" s="136">
        <v>0</v>
      </c>
      <c r="I105" s="137">
        <f>IFERROR(H105/'Income &amp; Expenses'!$F$19,)</f>
        <v>0</v>
      </c>
      <c r="J105" s="11"/>
      <c r="K105" s="138"/>
      <c r="L105" s="11"/>
      <c r="M105" s="11"/>
      <c r="N105" s="11"/>
      <c r="O105" s="52"/>
    </row>
    <row r="106" spans="2:15" x14ac:dyDescent="0.25">
      <c r="B106" s="135">
        <f t="shared" si="4"/>
        <v>43</v>
      </c>
      <c r="C106" s="314" t="s">
        <v>735</v>
      </c>
      <c r="D106" s="314"/>
      <c r="E106" s="314"/>
      <c r="F106" s="314"/>
      <c r="G106" s="140"/>
      <c r="H106" s="137">
        <v>1700000</v>
      </c>
      <c r="I106" s="137">
        <f>IFERROR(H106/'Income &amp; Expenses'!$F$19,)</f>
        <v>10119.047619047618</v>
      </c>
      <c r="J106" s="139">
        <f>+H106</f>
        <v>1700000</v>
      </c>
      <c r="K106" s="138"/>
      <c r="L106" s="11"/>
      <c r="M106" s="11"/>
      <c r="N106" s="11"/>
      <c r="O106" s="52"/>
    </row>
    <row r="107" spans="2:15" x14ac:dyDescent="0.25">
      <c r="B107" s="135">
        <f t="shared" si="4"/>
        <v>44</v>
      </c>
      <c r="C107" s="314" t="s">
        <v>603</v>
      </c>
      <c r="D107" s="314"/>
      <c r="E107" s="314"/>
      <c r="F107" s="314"/>
      <c r="G107" s="11"/>
      <c r="H107" s="136">
        <v>0</v>
      </c>
      <c r="I107" s="137">
        <f>IFERROR(H107/'Income &amp; Expenses'!$F$19,)</f>
        <v>0</v>
      </c>
      <c r="J107" s="11"/>
      <c r="K107" s="138"/>
      <c r="L107" s="11"/>
      <c r="M107" s="11"/>
      <c r="N107" s="11"/>
      <c r="O107" s="52"/>
    </row>
    <row r="108" spans="2:15" x14ac:dyDescent="0.25">
      <c r="B108" s="135">
        <f t="shared" si="4"/>
        <v>45</v>
      </c>
      <c r="C108" s="314" t="s">
        <v>720</v>
      </c>
      <c r="D108" s="314"/>
      <c r="E108" s="314"/>
      <c r="F108" s="314"/>
      <c r="G108" s="168"/>
      <c r="H108" s="137">
        <v>0</v>
      </c>
      <c r="I108" s="137">
        <f>IFERROR(H108/'Income &amp; Expenses'!$F$19,)</f>
        <v>0</v>
      </c>
      <c r="J108" s="11"/>
      <c r="K108" s="138"/>
      <c r="L108" s="11"/>
      <c r="M108" s="11"/>
      <c r="N108" s="11"/>
      <c r="O108" s="52"/>
    </row>
    <row r="109" spans="2:15" x14ac:dyDescent="0.25">
      <c r="B109" s="135">
        <f t="shared" si="4"/>
        <v>46</v>
      </c>
      <c r="C109" s="314" t="s">
        <v>604</v>
      </c>
      <c r="D109" s="314"/>
      <c r="E109" s="314"/>
      <c r="F109" s="314"/>
      <c r="G109" s="270">
        <v>450</v>
      </c>
      <c r="H109" s="137">
        <f>G109*'Income &amp; Expenses'!F19</f>
        <v>75600</v>
      </c>
      <c r="I109" s="137">
        <f>IFERROR(H109/'Income &amp; Expenses'!$F$19,)</f>
        <v>450</v>
      </c>
      <c r="J109" s="11"/>
      <c r="K109" s="136"/>
      <c r="L109" s="11"/>
      <c r="M109" s="11"/>
      <c r="N109" s="11"/>
      <c r="O109" s="52"/>
    </row>
    <row r="110" spans="2:15" x14ac:dyDescent="0.25">
      <c r="B110" s="135">
        <f t="shared" si="4"/>
        <v>47</v>
      </c>
      <c r="C110" s="314" t="s">
        <v>605</v>
      </c>
      <c r="D110" s="314"/>
      <c r="E110" s="314"/>
      <c r="F110" s="314"/>
      <c r="G110" s="120"/>
      <c r="H110" s="136">
        <v>0</v>
      </c>
      <c r="I110" s="137">
        <f>IFERROR(H110/'Income &amp; Expenses'!$F$19,)</f>
        <v>0</v>
      </c>
      <c r="J110" s="11"/>
      <c r="K110" s="138"/>
      <c r="L110" s="11"/>
      <c r="M110" s="11"/>
      <c r="N110" s="11"/>
      <c r="O110" s="52"/>
    </row>
    <row r="111" spans="2:15" x14ac:dyDescent="0.25">
      <c r="B111" s="135">
        <f>B110+1</f>
        <v>48</v>
      </c>
      <c r="C111" s="314" t="s">
        <v>606</v>
      </c>
      <c r="D111" s="314"/>
      <c r="E111" s="314"/>
      <c r="F111" s="314"/>
      <c r="G111" s="120"/>
      <c r="H111" s="136">
        <v>0</v>
      </c>
      <c r="I111" s="137">
        <f>IFERROR(H111/'Income &amp; Expenses'!$F$19,)</f>
        <v>0</v>
      </c>
      <c r="J111" s="11"/>
      <c r="K111" s="138"/>
      <c r="L111" s="11"/>
      <c r="M111" s="11"/>
      <c r="N111" s="11"/>
      <c r="O111" s="52"/>
    </row>
    <row r="112" spans="2:15" x14ac:dyDescent="0.25">
      <c r="C112" s="318" t="str">
        <f>"SUBTOTAL (lines "&amp;B104&amp;" through "&amp;B111&amp;")"</f>
        <v>SUBTOTAL (lines 41 through 48)</v>
      </c>
      <c r="D112" s="319"/>
      <c r="E112" s="319"/>
      <c r="F112" s="319"/>
      <c r="G112" s="174"/>
      <c r="H112" s="143">
        <f>SUM(H104:H111)</f>
        <v>1865600</v>
      </c>
      <c r="I112" s="144">
        <f>IFERROR(H112/'Income &amp; Expenses'!$F$19,)</f>
        <v>11104.761904761905</v>
      </c>
      <c r="J112" s="23"/>
      <c r="K112" s="144"/>
      <c r="L112" s="11"/>
      <c r="M112" s="11"/>
      <c r="N112" s="11"/>
      <c r="O112" s="52"/>
    </row>
    <row r="113" spans="2:15" x14ac:dyDescent="0.25">
      <c r="B113" s="135">
        <f>B111+1</f>
        <v>49</v>
      </c>
      <c r="C113" s="314" t="s">
        <v>719</v>
      </c>
      <c r="D113" s="314"/>
      <c r="E113" s="314"/>
      <c r="F113" s="314"/>
      <c r="G113" s="270">
        <v>300</v>
      </c>
      <c r="H113" s="137">
        <f>G113*'Income &amp; Expenses'!F19</f>
        <v>50400</v>
      </c>
      <c r="I113" s="137">
        <f>IFERROR(H113/'Income &amp; Expenses'!$F$19,)</f>
        <v>300</v>
      </c>
      <c r="J113" s="11"/>
      <c r="K113" s="136"/>
      <c r="L113" s="11"/>
      <c r="M113" s="11"/>
      <c r="N113" s="11"/>
      <c r="O113" s="52"/>
    </row>
    <row r="114" spans="2:15" x14ac:dyDescent="0.25">
      <c r="B114" s="135">
        <f t="shared" si="4"/>
        <v>50</v>
      </c>
      <c r="C114" s="314" t="s">
        <v>736</v>
      </c>
      <c r="D114" s="314"/>
      <c r="E114" s="314"/>
      <c r="F114" s="314"/>
      <c r="G114" s="120"/>
      <c r="H114" s="137">
        <f>O116</f>
        <v>415049.39130434784</v>
      </c>
      <c r="I114" s="137">
        <f>IFERROR(H114/'Income &amp; Expenses'!$F$19,)</f>
        <v>2470.5320910973087</v>
      </c>
      <c r="J114" s="11"/>
      <c r="K114" s="136"/>
      <c r="L114" s="11"/>
      <c r="N114" s="11"/>
      <c r="O114" s="283">
        <f>('Income &amp; Expenses'!F122)/12*4</f>
        <v>232333.33333333334</v>
      </c>
    </row>
    <row r="115" spans="2:15" x14ac:dyDescent="0.25">
      <c r="B115" s="135">
        <f t="shared" si="4"/>
        <v>51</v>
      </c>
      <c r="C115" s="314" t="s">
        <v>607</v>
      </c>
      <c r="D115" s="314"/>
      <c r="E115" s="314"/>
      <c r="F115" s="314"/>
      <c r="G115" s="11"/>
      <c r="H115" s="136">
        <v>0</v>
      </c>
      <c r="I115" s="137">
        <f>IFERROR(H115/'Income &amp; Expenses'!$F$19,)</f>
        <v>0</v>
      </c>
      <c r="J115" s="11"/>
      <c r="K115" s="136"/>
      <c r="N115" s="11"/>
      <c r="O115" s="290">
        <f>-('20-year Pro Forma'!E34)/12*4</f>
        <v>182716.0579710145</v>
      </c>
    </row>
    <row r="116" spans="2:15" x14ac:dyDescent="0.25">
      <c r="B116" s="135">
        <f>B115+1</f>
        <v>52</v>
      </c>
      <c r="C116" s="314" t="s">
        <v>607</v>
      </c>
      <c r="D116" s="314"/>
      <c r="E116" s="314"/>
      <c r="F116" s="314"/>
      <c r="G116" s="11"/>
      <c r="H116" s="136">
        <v>0</v>
      </c>
      <c r="I116" s="137">
        <f>IFERROR(H116/'Income &amp; Expenses'!$F$19,)</f>
        <v>0</v>
      </c>
      <c r="J116" s="11"/>
      <c r="K116" s="136"/>
      <c r="L116" s="11"/>
      <c r="N116" s="11"/>
      <c r="O116" s="283">
        <f>SUM(O114:O115)</f>
        <v>415049.39130434784</v>
      </c>
    </row>
    <row r="117" spans="2:15" x14ac:dyDescent="0.25">
      <c r="C117" s="318" t="str">
        <f>"SUBTOTAL (lines "&amp;B113&amp;" through "&amp;B116&amp;")"</f>
        <v>SUBTOTAL (lines 49 through 52)</v>
      </c>
      <c r="D117" s="319"/>
      <c r="E117" s="319"/>
      <c r="F117" s="319"/>
      <c r="G117" s="174"/>
      <c r="H117" s="143">
        <f>SUM(H113:H116)</f>
        <v>465449.39130434784</v>
      </c>
      <c r="I117" s="144">
        <f>IFERROR(H117/'Income &amp; Expenses'!$F$19,)</f>
        <v>2770.5320910973087</v>
      </c>
      <c r="J117" s="23"/>
      <c r="K117" s="144"/>
      <c r="L117" s="11"/>
      <c r="M117" s="11"/>
      <c r="N117" s="11"/>
      <c r="O117" s="52"/>
    </row>
    <row r="118" spans="2:15" x14ac:dyDescent="0.25">
      <c r="C118" s="318" t="str">
        <f>"DEVELOPMENT COSTS (lines "&amp;B21&amp;"-"&amp;B116&amp;")"</f>
        <v>DEVELOPMENT COSTS (lines 1-52)</v>
      </c>
      <c r="D118" s="319"/>
      <c r="E118" s="319"/>
      <c r="F118" s="319"/>
      <c r="G118" s="23"/>
      <c r="H118" s="143">
        <f>H35+H84+H103+H112+H117</f>
        <v>21753962.208974496</v>
      </c>
      <c r="I118" s="144">
        <f>IFERROR(H118/'Income &amp; Expenses'!$F$19,)</f>
        <v>129487.87029151486</v>
      </c>
      <c r="J118" s="143">
        <f>SUM(J21:J116)</f>
        <v>20254742.197728004</v>
      </c>
      <c r="K118" s="143">
        <f>SUM(K21:K117)</f>
        <v>0</v>
      </c>
      <c r="L118" s="139"/>
      <c r="M118" s="11"/>
      <c r="N118" s="11"/>
      <c r="O118" s="52"/>
    </row>
    <row r="119" spans="2:15" x14ac:dyDescent="0.25">
      <c r="B119" s="135">
        <f>B116+1</f>
        <v>53</v>
      </c>
      <c r="C119" s="314" t="s">
        <v>608</v>
      </c>
      <c r="D119" s="314"/>
      <c r="E119" s="314"/>
      <c r="F119" s="314"/>
      <c r="G119" s="11"/>
      <c r="H119" s="139"/>
      <c r="I119" s="139"/>
      <c r="J119" s="138">
        <f>H119</f>
        <v>0</v>
      </c>
      <c r="K119" s="138">
        <f>H119</f>
        <v>0</v>
      </c>
      <c r="L119" s="11"/>
      <c r="M119" s="11"/>
      <c r="N119" s="11"/>
      <c r="O119" s="52"/>
    </row>
    <row r="120" spans="2:15" x14ac:dyDescent="0.25">
      <c r="B120" s="135">
        <f t="shared" si="4"/>
        <v>54</v>
      </c>
      <c r="C120" s="314" t="s">
        <v>609</v>
      </c>
      <c r="D120" s="314"/>
      <c r="E120" s="314"/>
      <c r="F120" s="314"/>
      <c r="G120" s="11"/>
      <c r="H120" s="139"/>
      <c r="I120" s="139"/>
      <c r="J120" s="138">
        <f t="shared" ref="J120:J122" si="12">H120</f>
        <v>0</v>
      </c>
      <c r="K120" s="138">
        <f t="shared" ref="K120:K122" si="13">H120</f>
        <v>0</v>
      </c>
      <c r="L120" s="11"/>
      <c r="M120" s="11"/>
      <c r="N120" s="11"/>
      <c r="O120" s="52"/>
    </row>
    <row r="121" spans="2:15" x14ac:dyDescent="0.25">
      <c r="B121" s="135">
        <f t="shared" si="4"/>
        <v>55</v>
      </c>
      <c r="C121" s="314" t="s">
        <v>610</v>
      </c>
      <c r="D121" s="314"/>
      <c r="E121" s="314"/>
      <c r="F121" s="314"/>
      <c r="G121" s="11"/>
      <c r="H121" s="139"/>
      <c r="I121" s="139"/>
      <c r="J121" s="138">
        <f t="shared" si="12"/>
        <v>0</v>
      </c>
      <c r="K121" s="138">
        <f t="shared" si="13"/>
        <v>0</v>
      </c>
      <c r="L121" s="11"/>
      <c r="M121" s="11"/>
      <c r="N121" s="11"/>
      <c r="O121" s="52"/>
    </row>
    <row r="122" spans="2:15" x14ac:dyDescent="0.25">
      <c r="B122" s="135">
        <f t="shared" si="4"/>
        <v>56</v>
      </c>
      <c r="C122" s="314" t="s">
        <v>611</v>
      </c>
      <c r="D122" s="314"/>
      <c r="E122" s="314"/>
      <c r="F122" s="314"/>
      <c r="G122" s="11"/>
      <c r="H122" s="139"/>
      <c r="I122" s="139"/>
      <c r="J122" s="138">
        <f t="shared" si="12"/>
        <v>0</v>
      </c>
      <c r="K122" s="138">
        <f t="shared" si="13"/>
        <v>0</v>
      </c>
      <c r="L122" s="11"/>
      <c r="M122" s="11"/>
      <c r="N122" s="11"/>
      <c r="O122" s="52"/>
    </row>
    <row r="123" spans="2:15" x14ac:dyDescent="0.25">
      <c r="B123" s="135">
        <f t="shared" si="4"/>
        <v>57</v>
      </c>
      <c r="C123" s="326" t="s">
        <v>612</v>
      </c>
      <c r="D123" s="326"/>
      <c r="E123" s="326"/>
      <c r="F123" s="326"/>
      <c r="G123" s="11"/>
      <c r="H123" s="139"/>
      <c r="I123" s="139"/>
      <c r="J123" s="175">
        <f>J118-SUM(J119:J122)</f>
        <v>20254742.197728004</v>
      </c>
      <c r="K123" s="175">
        <f>K118-SUM(K119:K122)</f>
        <v>0</v>
      </c>
      <c r="L123" s="11"/>
      <c r="M123" s="11"/>
      <c r="N123" s="11"/>
      <c r="O123" s="52"/>
    </row>
    <row r="124" spans="2:15" x14ac:dyDescent="0.25">
      <c r="B124" s="135">
        <f t="shared" si="4"/>
        <v>58</v>
      </c>
      <c r="C124" s="314" t="s">
        <v>643</v>
      </c>
      <c r="D124" s="314"/>
      <c r="E124" s="314"/>
      <c r="F124" s="314"/>
      <c r="G124" s="11"/>
      <c r="H124" s="139"/>
      <c r="I124" s="139"/>
      <c r="J124" s="248">
        <v>1</v>
      </c>
      <c r="K124" s="248">
        <v>1</v>
      </c>
      <c r="L124" s="241"/>
      <c r="M124" s="11"/>
      <c r="N124" s="11"/>
      <c r="O124" s="52"/>
    </row>
    <row r="125" spans="2:15" x14ac:dyDescent="0.25">
      <c r="B125" s="135">
        <f t="shared" si="4"/>
        <v>59</v>
      </c>
      <c r="C125" s="314" t="s">
        <v>613</v>
      </c>
      <c r="D125" s="314"/>
      <c r="E125" s="314"/>
      <c r="F125" s="314"/>
      <c r="G125" s="11"/>
      <c r="H125" s="139"/>
      <c r="I125" s="139"/>
      <c r="J125" s="138">
        <f>J123*J124</f>
        <v>20254742.197728004</v>
      </c>
      <c r="K125" s="138">
        <f>K123*K124</f>
        <v>0</v>
      </c>
      <c r="L125" s="11"/>
      <c r="M125" s="11"/>
      <c r="N125" s="11"/>
      <c r="O125" s="52"/>
    </row>
    <row r="126" spans="2:15" x14ac:dyDescent="0.25">
      <c r="B126" s="135">
        <f>B125+1</f>
        <v>60</v>
      </c>
      <c r="C126" s="314" t="s">
        <v>642</v>
      </c>
      <c r="D126" s="314"/>
      <c r="E126" s="314"/>
      <c r="F126" s="314"/>
      <c r="G126" s="11"/>
      <c r="H126" s="139"/>
      <c r="I126" s="139"/>
      <c r="J126" s="243">
        <f>IF('Project Description'!$D$13="Yes",1.3,1)</f>
        <v>1.3</v>
      </c>
      <c r="K126" s="243">
        <v>1.3</v>
      </c>
      <c r="L126" s="241"/>
      <c r="M126" s="11"/>
      <c r="N126" s="11"/>
      <c r="O126" s="52"/>
    </row>
    <row r="127" spans="2:15" x14ac:dyDescent="0.25">
      <c r="B127" s="135">
        <f>B126+1</f>
        <v>61</v>
      </c>
      <c r="C127" s="238" t="s">
        <v>683</v>
      </c>
      <c r="D127" s="238"/>
      <c r="E127" s="238"/>
      <c r="F127" s="238"/>
      <c r="G127" s="11"/>
      <c r="H127" s="139"/>
      <c r="I127" s="139"/>
      <c r="J127" s="243">
        <v>0</v>
      </c>
      <c r="K127" s="243">
        <v>1</v>
      </c>
      <c r="L127" s="241"/>
      <c r="M127" s="11"/>
      <c r="N127" s="11"/>
      <c r="O127" s="52"/>
    </row>
    <row r="128" spans="2:15" x14ac:dyDescent="0.25">
      <c r="B128" s="135">
        <f t="shared" ref="B128:B129" si="14">B127+1</f>
        <v>62</v>
      </c>
      <c r="C128" s="238" t="s">
        <v>684</v>
      </c>
      <c r="D128" s="238"/>
      <c r="E128" s="238"/>
      <c r="F128" s="238"/>
      <c r="G128" s="11"/>
      <c r="H128" s="139"/>
      <c r="I128" s="139"/>
      <c r="J128" s="243">
        <v>0</v>
      </c>
      <c r="K128" s="243">
        <v>1</v>
      </c>
      <c r="L128" s="241"/>
      <c r="M128" s="11"/>
      <c r="N128" s="11"/>
      <c r="O128" s="52"/>
    </row>
    <row r="129" spans="2:15" x14ac:dyDescent="0.25">
      <c r="B129" s="135">
        <f t="shared" si="14"/>
        <v>63</v>
      </c>
      <c r="C129" s="319" t="s">
        <v>614</v>
      </c>
      <c r="D129" s="319"/>
      <c r="E129" s="319"/>
      <c r="F129" s="319"/>
      <c r="G129" s="23"/>
      <c r="H129" s="174"/>
      <c r="I129" s="174"/>
      <c r="J129" s="176">
        <f>J125*J126</f>
        <v>26331164.857046407</v>
      </c>
      <c r="K129" s="176">
        <f>K127*K125*K128*K126</f>
        <v>0</v>
      </c>
      <c r="L129" s="244"/>
      <c r="M129" s="11"/>
      <c r="N129" s="11"/>
      <c r="O129" s="52"/>
    </row>
    <row r="130" spans="2:15" x14ac:dyDescent="0.25">
      <c r="B130" s="135">
        <f t="shared" si="4"/>
        <v>64</v>
      </c>
      <c r="C130" s="314" t="s">
        <v>644</v>
      </c>
      <c r="D130" s="314"/>
      <c r="E130" s="314"/>
      <c r="F130" s="314"/>
      <c r="G130" s="11"/>
      <c r="H130" s="139"/>
      <c r="I130" s="139"/>
      <c r="J130" s="177">
        <v>3.2099999999999997E-2</v>
      </c>
      <c r="K130" s="177">
        <v>7.4800000000000005E-2</v>
      </c>
      <c r="L130" s="11"/>
      <c r="M130" s="61"/>
      <c r="N130" s="11"/>
      <c r="O130" s="52" t="s">
        <v>708</v>
      </c>
    </row>
    <row r="131" spans="2:15" x14ac:dyDescent="0.25">
      <c r="B131" s="135">
        <f t="shared" ref="B131:B132" si="15">B130+1</f>
        <v>65</v>
      </c>
      <c r="C131" s="314" t="s">
        <v>645</v>
      </c>
      <c r="D131" s="314"/>
      <c r="E131" s="314"/>
      <c r="F131" s="314"/>
      <c r="G131" s="11"/>
      <c r="H131" s="139"/>
      <c r="I131" s="139"/>
      <c r="J131" s="178">
        <f>J129*J130</f>
        <v>845230.39191118954</v>
      </c>
      <c r="K131" s="179">
        <f>K129*K130</f>
        <v>0</v>
      </c>
      <c r="L131" s="11"/>
      <c r="M131" s="11"/>
      <c r="N131" s="11"/>
      <c r="O131" s="52"/>
    </row>
    <row r="132" spans="2:15" x14ac:dyDescent="0.25">
      <c r="B132" s="135">
        <f t="shared" si="15"/>
        <v>66</v>
      </c>
      <c r="C132" s="319" t="s">
        <v>646</v>
      </c>
      <c r="D132" s="319"/>
      <c r="E132" s="319"/>
      <c r="F132" s="319"/>
      <c r="G132" s="23"/>
      <c r="H132" s="174"/>
      <c r="I132" s="174"/>
      <c r="J132" s="23"/>
      <c r="K132" s="180">
        <f>+K131+J131</f>
        <v>845230.39191118954</v>
      </c>
      <c r="L132" s="246"/>
      <c r="M132" s="11"/>
      <c r="N132" s="11"/>
      <c r="O132" s="52"/>
    </row>
    <row r="133" spans="2:15" x14ac:dyDescent="0.25">
      <c r="B133" s="135">
        <f>B132+1</f>
        <v>67</v>
      </c>
      <c r="C133" s="314" t="s">
        <v>615</v>
      </c>
      <c r="D133" s="314"/>
      <c r="E133" s="314"/>
      <c r="F133" s="314"/>
      <c r="G133" s="11"/>
      <c r="H133" s="110">
        <f>+'Project Description'!D25</f>
        <v>2520000</v>
      </c>
      <c r="I133" s="137">
        <f>IFERROR(H133/'Income &amp; Expenses'!$F$19,)</f>
        <v>15000</v>
      </c>
      <c r="J133" s="11"/>
      <c r="K133" s="11"/>
      <c r="L133" s="11"/>
      <c r="M133" s="11"/>
      <c r="N133" s="11"/>
      <c r="O133" s="52"/>
    </row>
    <row r="134" spans="2:15" x14ac:dyDescent="0.25">
      <c r="B134" s="135">
        <f>B133+1</f>
        <v>68</v>
      </c>
      <c r="C134" s="319" t="s">
        <v>616</v>
      </c>
      <c r="D134" s="319"/>
      <c r="E134" s="319"/>
      <c r="F134" s="319"/>
      <c r="G134" s="23"/>
      <c r="H134" s="143">
        <f>H118+H133</f>
        <v>24273962.208974496</v>
      </c>
      <c r="I134" s="144">
        <f>IFERROR(H134/'Income &amp; Expenses'!$F$19,)</f>
        <v>144487.87029151485</v>
      </c>
      <c r="J134" s="11"/>
      <c r="K134" s="139"/>
      <c r="L134" s="11"/>
      <c r="M134" s="11"/>
      <c r="N134" s="11"/>
      <c r="O134" s="52"/>
    </row>
    <row r="135" spans="2:15" x14ac:dyDescent="0.25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52"/>
    </row>
    <row r="136" spans="2:15" x14ac:dyDescent="0.25">
      <c r="B136" s="11"/>
      <c r="C136" s="11"/>
      <c r="D136" s="11"/>
      <c r="E136" s="11"/>
      <c r="F136" s="11"/>
      <c r="G136" s="11"/>
      <c r="H136" s="11"/>
      <c r="I136" s="11"/>
      <c r="J136" s="92" t="s">
        <v>685</v>
      </c>
      <c r="K136" s="245">
        <f>K132*10</f>
        <v>8452303.9191118963</v>
      </c>
      <c r="L136" s="11"/>
      <c r="M136" s="11"/>
      <c r="N136" s="11"/>
      <c r="O136" s="52"/>
    </row>
    <row r="137" spans="2:15" x14ac:dyDescent="0.25">
      <c r="B137" s="11"/>
      <c r="C137" s="11"/>
      <c r="D137" s="11"/>
      <c r="E137" s="11"/>
      <c r="F137" s="11"/>
      <c r="G137" s="11"/>
      <c r="H137" s="11"/>
      <c r="I137" s="11"/>
      <c r="J137" s="181" t="s">
        <v>697</v>
      </c>
      <c r="K137" s="258">
        <f>IFERROR(K136/'Income &amp; Expenses'!$F$20,)</f>
        <v>50311.332851856525</v>
      </c>
      <c r="L137" s="257"/>
      <c r="M137" s="11"/>
      <c r="N137" s="11"/>
      <c r="O137" s="52"/>
    </row>
    <row r="138" spans="2:15" x14ac:dyDescent="0.2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257"/>
      <c r="M138" s="11"/>
      <c r="N138" s="11"/>
      <c r="O138" s="52"/>
    </row>
    <row r="139" spans="2:15" x14ac:dyDescent="0.25">
      <c r="B139" s="11"/>
      <c r="C139" s="11"/>
      <c r="D139" s="11"/>
      <c r="E139" s="61"/>
      <c r="F139" s="11"/>
      <c r="G139" s="11"/>
      <c r="H139" s="11"/>
      <c r="I139" s="11"/>
      <c r="J139" s="11"/>
      <c r="K139" s="11"/>
      <c r="L139" s="11"/>
      <c r="M139" s="11"/>
      <c r="N139" s="11"/>
      <c r="O139" s="52"/>
    </row>
    <row r="140" spans="2:15" x14ac:dyDescent="0.25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52"/>
    </row>
    <row r="141" spans="2:15" x14ac:dyDescent="0.2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52"/>
    </row>
    <row r="142" spans="2:15" x14ac:dyDescent="0.25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61"/>
    </row>
    <row r="143" spans="2:15" x14ac:dyDescent="0.2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61"/>
    </row>
    <row r="144" spans="2:15" x14ac:dyDescent="0.2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61"/>
    </row>
    <row r="145" spans="2:15" x14ac:dyDescent="0.2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2:15" x14ac:dyDescent="0.25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2:15" x14ac:dyDescent="0.2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2:15" x14ac:dyDescent="0.2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2:15" x14ac:dyDescent="0.25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2:15" x14ac:dyDescent="0.25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2:15" x14ac:dyDescent="0.25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2:15" x14ac:dyDescent="0.25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</sheetData>
  <mergeCells count="113">
    <mergeCell ref="C131:F131"/>
    <mergeCell ref="C133:F133"/>
    <mergeCell ref="C134:F134"/>
    <mergeCell ref="C123:F123"/>
    <mergeCell ref="C124:F124"/>
    <mergeCell ref="C125:F125"/>
    <mergeCell ref="C126:F126"/>
    <mergeCell ref="C129:F129"/>
    <mergeCell ref="C130:F130"/>
    <mergeCell ref="C132:F132"/>
    <mergeCell ref="C122:F122"/>
    <mergeCell ref="C110:F110"/>
    <mergeCell ref="C111:F111"/>
    <mergeCell ref="C112:F112"/>
    <mergeCell ref="C113:F113"/>
    <mergeCell ref="C114:F114"/>
    <mergeCell ref="C115:F115"/>
    <mergeCell ref="C116:F116"/>
    <mergeCell ref="C118:F118"/>
    <mergeCell ref="C119:F119"/>
    <mergeCell ref="C120:F120"/>
    <mergeCell ref="C121:F121"/>
    <mergeCell ref="C117:F117"/>
    <mergeCell ref="C109:F109"/>
    <mergeCell ref="C98:F98"/>
    <mergeCell ref="C99:F99"/>
    <mergeCell ref="C100:F100"/>
    <mergeCell ref="C101:F101"/>
    <mergeCell ref="C102:F102"/>
    <mergeCell ref="C103:F103"/>
    <mergeCell ref="C104:F104"/>
    <mergeCell ref="C105:F105"/>
    <mergeCell ref="C106:F106"/>
    <mergeCell ref="C107:F107"/>
    <mergeCell ref="C108:F108"/>
    <mergeCell ref="C34:F34"/>
    <mergeCell ref="C35:F35"/>
    <mergeCell ref="C36:F36"/>
    <mergeCell ref="C37:F37"/>
    <mergeCell ref="C47:F47"/>
    <mergeCell ref="C59:F59"/>
    <mergeCell ref="C73:F73"/>
    <mergeCell ref="C72:F72"/>
    <mergeCell ref="C74:F74"/>
    <mergeCell ref="C60:F60"/>
    <mergeCell ref="C64:F64"/>
    <mergeCell ref="C69:F69"/>
    <mergeCell ref="C70:F70"/>
    <mergeCell ref="C71:F71"/>
    <mergeCell ref="C65:E65"/>
    <mergeCell ref="C66:E66"/>
    <mergeCell ref="C67:E67"/>
    <mergeCell ref="C68:E68"/>
    <mergeCell ref="C43:D43"/>
    <mergeCell ref="C44:D44"/>
    <mergeCell ref="C45:D45"/>
    <mergeCell ref="C46:D46"/>
    <mergeCell ref="C53:D53"/>
    <mergeCell ref="C54:D54"/>
    <mergeCell ref="J19:K19"/>
    <mergeCell ref="C25:F25"/>
    <mergeCell ref="C61:F61"/>
    <mergeCell ref="C62:F62"/>
    <mergeCell ref="C63:F63"/>
    <mergeCell ref="C33:F33"/>
    <mergeCell ref="C21:F21"/>
    <mergeCell ref="C22:F22"/>
    <mergeCell ref="C23:F23"/>
    <mergeCell ref="C24:F24"/>
    <mergeCell ref="C26:F26"/>
    <mergeCell ref="C27:F27"/>
    <mergeCell ref="C28:F28"/>
    <mergeCell ref="C29:F29"/>
    <mergeCell ref="C30:F30"/>
    <mergeCell ref="C31:F31"/>
    <mergeCell ref="C32:F32"/>
    <mergeCell ref="C57:D57"/>
    <mergeCell ref="C58:D58"/>
    <mergeCell ref="C38:D38"/>
    <mergeCell ref="C39:D39"/>
    <mergeCell ref="C40:D40"/>
    <mergeCell ref="C41:D41"/>
    <mergeCell ref="C42:D42"/>
    <mergeCell ref="C55:D55"/>
    <mergeCell ref="C56:D56"/>
    <mergeCell ref="C49:D49"/>
    <mergeCell ref="C48:D48"/>
    <mergeCell ref="C50:D50"/>
    <mergeCell ref="C51:D51"/>
    <mergeCell ref="C52:D52"/>
    <mergeCell ref="C77:F77"/>
    <mergeCell ref="C75:F75"/>
    <mergeCell ref="C76:F76"/>
    <mergeCell ref="C97:F97"/>
    <mergeCell ref="C78:F78"/>
    <mergeCell ref="C79:F79"/>
    <mergeCell ref="C80:F80"/>
    <mergeCell ref="C81:F81"/>
    <mergeCell ref="C82:F82"/>
    <mergeCell ref="C83:F83"/>
    <mergeCell ref="C86:D86"/>
    <mergeCell ref="C87:D87"/>
    <mergeCell ref="C88:D88"/>
    <mergeCell ref="C84:F84"/>
    <mergeCell ref="C85:F85"/>
    <mergeCell ref="C94:F94"/>
    <mergeCell ref="C95:F95"/>
    <mergeCell ref="C96:F96"/>
    <mergeCell ref="C89:D89"/>
    <mergeCell ref="C93:D93"/>
    <mergeCell ref="C90:D90"/>
    <mergeCell ref="C91:D91"/>
    <mergeCell ref="C92:D92"/>
  </mergeCells>
  <pageMargins left="0.5" right="0.5" top="0.5" bottom="0.5" header="0.3" footer="0.3"/>
  <pageSetup scale="64" fitToHeight="0" orientation="landscape" r:id="rId1"/>
  <headerFooter scaleWithDoc="0">
    <oddHeader>&amp;R&amp;G</oddHeader>
    <oddFooter>&amp;L&amp;"-,Bold" Confidential&amp;C&amp;D&amp;RPage &amp;P</oddFooter>
  </headerFooter>
  <rowBreaks count="1" manualBreakCount="1">
    <brk id="16" max="16383" man="1"/>
  </rowBreaks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2:P133"/>
  <sheetViews>
    <sheetView topLeftCell="A5" zoomScale="90" zoomScaleNormal="90" zoomScaleSheetLayoutView="90" workbookViewId="0">
      <selection activeCell="F32" sqref="F32"/>
    </sheetView>
  </sheetViews>
  <sheetFormatPr defaultColWidth="8.85546875" defaultRowHeight="15" outlineLevelRow="1" x14ac:dyDescent="0.25"/>
  <cols>
    <col min="1" max="1" width="5.7109375" customWidth="1"/>
    <col min="2" max="2" width="6.7109375" customWidth="1"/>
    <col min="3" max="3" width="7.7109375" customWidth="1"/>
    <col min="4" max="4" width="15" customWidth="1"/>
    <col min="5" max="5" width="28" customWidth="1"/>
    <col min="6" max="6" width="19.85546875" customWidth="1"/>
    <col min="7" max="7" width="14.7109375" customWidth="1"/>
    <col min="8" max="10" width="16.7109375" customWidth="1"/>
    <col min="11" max="11" width="10.42578125" customWidth="1"/>
    <col min="12" max="12" width="9.28515625" hidden="1" customWidth="1"/>
    <col min="13" max="13" width="9.28515625" bestFit="1" customWidth="1"/>
    <col min="14" max="14" width="28.85546875" customWidth="1"/>
    <col min="15" max="15" width="2.28515625" customWidth="1"/>
    <col min="16" max="16" width="15" customWidth="1"/>
  </cols>
  <sheetData>
    <row r="2" spans="2:16" ht="18.75" x14ac:dyDescent="0.3">
      <c r="B2" s="195" t="str">
        <f>""&amp;'Project Description'!D7&amp;", "&amp;'Project Description'!D9&amp;", "&amp;'Project Description'!D10</f>
        <v>Washington Terrace_Bond_Family, Raleigh, Wake County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2:16" ht="18.75" x14ac:dyDescent="0.3">
      <c r="B3" s="2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18.75" x14ac:dyDescent="0.3">
      <c r="B4" s="21" t="s">
        <v>143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x14ac:dyDescent="0.25">
      <c r="B5" s="22" t="s">
        <v>682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x14ac:dyDescent="0.25">
      <c r="B6" s="2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x14ac:dyDescent="0.25">
      <c r="B7" s="3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87"/>
    </row>
    <row r="8" spans="2:16" ht="15.75" x14ac:dyDescent="0.25">
      <c r="B8" s="33" t="s">
        <v>757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87"/>
    </row>
    <row r="9" spans="2:16" x14ac:dyDescent="0.25">
      <c r="B9" s="11"/>
      <c r="C9" s="34" t="s">
        <v>687</v>
      </c>
      <c r="D9" s="34" t="s">
        <v>688</v>
      </c>
      <c r="E9" s="35" t="s">
        <v>145</v>
      </c>
      <c r="F9" s="35" t="s">
        <v>146</v>
      </c>
      <c r="G9" s="35" t="s">
        <v>730</v>
      </c>
      <c r="H9" s="35" t="s">
        <v>147</v>
      </c>
      <c r="I9" s="35" t="s">
        <v>504</v>
      </c>
      <c r="J9" s="35" t="s">
        <v>148</v>
      </c>
      <c r="K9" s="279" t="s">
        <v>149</v>
      </c>
      <c r="L9" s="35"/>
      <c r="M9" s="35" t="s">
        <v>152</v>
      </c>
      <c r="N9" s="35" t="s">
        <v>151</v>
      </c>
      <c r="O9" s="11"/>
      <c r="P9" s="300"/>
    </row>
    <row r="10" spans="2:16" x14ac:dyDescent="0.25">
      <c r="B10" s="11"/>
      <c r="C10" s="36" t="s">
        <v>473</v>
      </c>
      <c r="D10" s="37">
        <v>0.6</v>
      </c>
      <c r="E10" s="38">
        <v>660</v>
      </c>
      <c r="F10" s="38">
        <v>16</v>
      </c>
      <c r="G10" s="38"/>
      <c r="H10" s="39">
        <f>650+30</f>
        <v>680</v>
      </c>
      <c r="I10" s="40">
        <f>IFERROR(H10/E10,)</f>
        <v>1.0303030303030303</v>
      </c>
      <c r="J10" s="39">
        <v>112</v>
      </c>
      <c r="K10" s="278">
        <f>H10+J10</f>
        <v>792</v>
      </c>
      <c r="L10" s="41" t="str">
        <f t="shared" ref="L10:L14" si="0">D10&amp;"_"&amp;C10</f>
        <v>0.6_1 BR</v>
      </c>
      <c r="M10" s="42">
        <v>887</v>
      </c>
      <c r="N10" s="302">
        <f>IFERROR(K10/M10,)</f>
        <v>0.89289740698985343</v>
      </c>
      <c r="O10" s="11"/>
      <c r="P10" s="299"/>
    </row>
    <row r="11" spans="2:16" x14ac:dyDescent="0.25">
      <c r="B11" s="11"/>
      <c r="C11" s="34" t="s">
        <v>473</v>
      </c>
      <c r="D11" s="44">
        <v>0.5</v>
      </c>
      <c r="E11" s="45">
        <v>660</v>
      </c>
      <c r="F11" s="310">
        <v>52</v>
      </c>
      <c r="G11" s="35"/>
      <c r="H11" s="311">
        <f>524+51</f>
        <v>575</v>
      </c>
      <c r="I11" s="47">
        <f>IFERROR(H11/E11,)</f>
        <v>0.87121212121212122</v>
      </c>
      <c r="J11" s="46">
        <f>+J10</f>
        <v>112</v>
      </c>
      <c r="K11" s="278">
        <f>H11+J11</f>
        <v>687</v>
      </c>
      <c r="L11" s="49" t="str">
        <f t="shared" si="0"/>
        <v>0.5_1 BR</v>
      </c>
      <c r="M11" s="50">
        <v>739</v>
      </c>
      <c r="N11" s="303">
        <f>IFERROR(K11/M11,)</f>
        <v>0.92963464140730723</v>
      </c>
      <c r="O11" s="11"/>
      <c r="P11" s="299"/>
    </row>
    <row r="12" spans="2:16" x14ac:dyDescent="0.25">
      <c r="B12" s="11"/>
      <c r="C12" s="34" t="s">
        <v>474</v>
      </c>
      <c r="D12" s="44">
        <v>0.6</v>
      </c>
      <c r="E12" s="45">
        <v>927</v>
      </c>
      <c r="F12" s="113">
        <v>49</v>
      </c>
      <c r="G12" s="45"/>
      <c r="H12" s="46">
        <f>765+30</f>
        <v>795</v>
      </c>
      <c r="I12" s="47">
        <f t="shared" ref="I12:I15" si="1">IFERROR(H12/E12,)</f>
        <v>0.85760517799352753</v>
      </c>
      <c r="J12" s="46">
        <v>146</v>
      </c>
      <c r="K12" s="48">
        <f t="shared" ref="K12:K15" si="2">H12+J12</f>
        <v>941</v>
      </c>
      <c r="L12" s="49" t="str">
        <f t="shared" si="0"/>
        <v>0.6_2 BR</v>
      </c>
      <c r="M12" s="50">
        <v>1065</v>
      </c>
      <c r="N12" s="303">
        <f t="shared" ref="N12:N14" si="3">IFERROR(K12/M12,)</f>
        <v>0.8835680751173709</v>
      </c>
      <c r="O12" s="11"/>
      <c r="P12" s="52"/>
    </row>
    <row r="13" spans="2:16" x14ac:dyDescent="0.25">
      <c r="B13" s="11"/>
      <c r="C13" s="34" t="s">
        <v>474</v>
      </c>
      <c r="D13" s="44">
        <v>0.5</v>
      </c>
      <c r="E13" s="45">
        <v>927</v>
      </c>
      <c r="F13" s="310">
        <v>27</v>
      </c>
      <c r="G13" s="45"/>
      <c r="H13" s="311">
        <f>560+115</f>
        <v>675</v>
      </c>
      <c r="I13" s="47">
        <f t="shared" si="1"/>
        <v>0.72815533980582525</v>
      </c>
      <c r="J13" s="46">
        <f>+J12</f>
        <v>146</v>
      </c>
      <c r="K13" s="48">
        <f t="shared" si="2"/>
        <v>821</v>
      </c>
      <c r="L13" s="49" t="str">
        <f t="shared" si="0"/>
        <v>0.5_2 BR</v>
      </c>
      <c r="M13" s="50">
        <v>887</v>
      </c>
      <c r="N13" s="303">
        <f t="shared" si="3"/>
        <v>0.92559188275084558</v>
      </c>
      <c r="O13" s="11"/>
      <c r="P13" s="52"/>
    </row>
    <row r="14" spans="2:16" x14ac:dyDescent="0.25">
      <c r="B14" s="11"/>
      <c r="C14" s="34" t="s">
        <v>475</v>
      </c>
      <c r="D14" s="44">
        <v>0.6</v>
      </c>
      <c r="E14" s="45">
        <v>1128</v>
      </c>
      <c r="F14" s="113">
        <v>22</v>
      </c>
      <c r="G14" s="45"/>
      <c r="H14" s="46">
        <f>860+30</f>
        <v>890</v>
      </c>
      <c r="I14" s="47">
        <f t="shared" si="1"/>
        <v>0.78900709219858156</v>
      </c>
      <c r="J14" s="46">
        <v>182</v>
      </c>
      <c r="K14" s="48">
        <f t="shared" si="2"/>
        <v>1072</v>
      </c>
      <c r="L14" s="49" t="str">
        <f t="shared" si="0"/>
        <v>0.6_3 BR</v>
      </c>
      <c r="M14" s="50">
        <v>1230</v>
      </c>
      <c r="N14" s="303">
        <f t="shared" si="3"/>
        <v>0.87154471544715451</v>
      </c>
      <c r="O14" s="11"/>
      <c r="P14" s="52"/>
    </row>
    <row r="15" spans="2:16" x14ac:dyDescent="0.25">
      <c r="B15" s="11"/>
      <c r="C15" s="34" t="s">
        <v>475</v>
      </c>
      <c r="D15" s="44">
        <v>0.5</v>
      </c>
      <c r="E15" s="45">
        <v>1128</v>
      </c>
      <c r="F15" s="113">
        <v>2</v>
      </c>
      <c r="G15" s="45"/>
      <c r="H15" s="46">
        <v>780</v>
      </c>
      <c r="I15" s="47">
        <f t="shared" si="1"/>
        <v>0.69148936170212771</v>
      </c>
      <c r="J15" s="46">
        <v>182</v>
      </c>
      <c r="K15" s="48">
        <f t="shared" si="2"/>
        <v>962</v>
      </c>
      <c r="L15" s="49" t="str">
        <f t="shared" ref="L15" si="4">D15&amp;"_"&amp;C15</f>
        <v>0.5_3 BR</v>
      </c>
      <c r="M15" s="50">
        <v>1025</v>
      </c>
      <c r="N15" s="303">
        <f t="shared" ref="N15" si="5">IFERROR(K15/M15,)</f>
        <v>0.9385365853658536</v>
      </c>
      <c r="O15" s="11"/>
      <c r="P15" s="52"/>
    </row>
    <row r="16" spans="2:16" x14ac:dyDescent="0.25">
      <c r="B16" s="11"/>
      <c r="C16" s="34"/>
      <c r="D16" s="53"/>
      <c r="E16" s="35" t="s">
        <v>567</v>
      </c>
      <c r="F16" s="35">
        <f>SUM(F10:F15)</f>
        <v>168</v>
      </c>
      <c r="G16" s="35"/>
      <c r="H16" s="54"/>
      <c r="I16" s="47"/>
      <c r="J16" s="46"/>
      <c r="K16" s="48"/>
      <c r="L16" s="49"/>
      <c r="M16" s="50"/>
      <c r="N16" s="51"/>
      <c r="O16" s="11"/>
      <c r="P16" s="299"/>
    </row>
    <row r="17" spans="2:16" x14ac:dyDescent="0.25">
      <c r="B17" s="11"/>
      <c r="C17" s="34"/>
      <c r="D17" s="53"/>
      <c r="E17" s="35"/>
      <c r="F17" s="35"/>
      <c r="G17" s="35"/>
      <c r="H17" s="54"/>
      <c r="I17" s="47"/>
      <c r="J17" s="46"/>
      <c r="K17" s="48"/>
      <c r="L17" s="49"/>
      <c r="M17" s="50"/>
      <c r="N17" s="51"/>
      <c r="O17" s="11"/>
      <c r="P17" s="299"/>
    </row>
    <row r="18" spans="2:16" x14ac:dyDescent="0.25">
      <c r="B18" s="11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11"/>
      <c r="P18" s="187"/>
    </row>
    <row r="19" spans="2:16" x14ac:dyDescent="0.25">
      <c r="B19" s="11"/>
      <c r="C19" s="11"/>
      <c r="D19" s="11"/>
      <c r="E19" s="56" t="s">
        <v>468</v>
      </c>
      <c r="F19" s="57">
        <f>+F16</f>
        <v>168</v>
      </c>
      <c r="G19" s="58"/>
      <c r="H19" s="58"/>
      <c r="I19" s="59" t="s">
        <v>466</v>
      </c>
      <c r="J19" s="60">
        <f>SUMPRODUCT(F10:F14,H10:H14)</f>
        <v>117540</v>
      </c>
      <c r="K19" s="11"/>
      <c r="L19" s="11"/>
      <c r="M19" s="293">
        <f>+J19/F16</f>
        <v>699.64285714285711</v>
      </c>
      <c r="N19" s="11" t="s">
        <v>733</v>
      </c>
      <c r="O19" s="11"/>
      <c r="P19" s="187"/>
    </row>
    <row r="20" spans="2:16" x14ac:dyDescent="0.25">
      <c r="B20" s="11"/>
      <c r="C20" s="61"/>
      <c r="D20" s="11"/>
      <c r="E20" s="62" t="s">
        <v>560</v>
      </c>
      <c r="F20" s="63">
        <f>F19-SUMIF(D10:D16,"Market",F10:F16)</f>
        <v>168</v>
      </c>
      <c r="G20" s="64">
        <f>IFERROR(F20/F19,)</f>
        <v>1</v>
      </c>
      <c r="H20" s="65"/>
      <c r="I20" s="66" t="s">
        <v>467</v>
      </c>
      <c r="J20" s="67">
        <f>J19*12</f>
        <v>1410480</v>
      </c>
      <c r="K20" s="11"/>
      <c r="L20" s="11"/>
      <c r="M20" s="293"/>
      <c r="N20" s="11"/>
      <c r="O20" s="11"/>
      <c r="P20" s="187"/>
    </row>
    <row r="21" spans="2:16" x14ac:dyDescent="0.25">
      <c r="B21" s="11"/>
      <c r="C21" s="11"/>
      <c r="D21" s="11"/>
      <c r="E21" s="62"/>
      <c r="F21" s="65"/>
      <c r="G21" s="65"/>
      <c r="H21" s="65"/>
      <c r="I21" s="65"/>
      <c r="J21" s="68"/>
      <c r="K21" s="11"/>
      <c r="L21" s="11"/>
      <c r="M21" s="293"/>
      <c r="N21" s="11"/>
      <c r="O21" s="11"/>
      <c r="P21" s="187"/>
    </row>
    <row r="22" spans="2:16" x14ac:dyDescent="0.25">
      <c r="B22" s="11"/>
      <c r="C22" s="11"/>
      <c r="D22" s="11"/>
      <c r="E22" s="69" t="s">
        <v>561</v>
      </c>
      <c r="F22" s="65"/>
      <c r="G22" s="65"/>
      <c r="H22" s="65"/>
      <c r="I22" s="66" t="s">
        <v>496</v>
      </c>
      <c r="J22" s="70"/>
      <c r="K22" s="11"/>
      <c r="L22" s="11"/>
      <c r="M22" s="11"/>
      <c r="N22" s="11"/>
      <c r="O22" s="11"/>
      <c r="P22" s="187"/>
    </row>
    <row r="23" spans="2:16" x14ac:dyDescent="0.25">
      <c r="B23" s="11"/>
      <c r="C23" s="11"/>
      <c r="D23" s="11"/>
      <c r="E23" s="71" t="str">
        <f>DropDownLists!R3</f>
        <v>Efficiency</v>
      </c>
      <c r="F23" s="72">
        <f>SUMIF($C$10:$C$16,E23,$F$10:$F$16)</f>
        <v>0</v>
      </c>
      <c r="G23" s="64">
        <f>IFERROR(F23/$F$19,)</f>
        <v>0</v>
      </c>
      <c r="H23" s="65"/>
      <c r="I23" s="66" t="s">
        <v>497</v>
      </c>
      <c r="J23" s="73"/>
      <c r="K23" s="11"/>
      <c r="L23" s="11"/>
      <c r="M23" s="11"/>
      <c r="N23" s="11"/>
      <c r="O23" s="11"/>
      <c r="P23" s="11"/>
    </row>
    <row r="24" spans="2:16" x14ac:dyDescent="0.25">
      <c r="B24" s="11"/>
      <c r="C24" s="11"/>
      <c r="D24" s="11"/>
      <c r="E24" s="71" t="str">
        <f>DropDownLists!R4</f>
        <v>1 BR</v>
      </c>
      <c r="F24" s="72">
        <f>SUM(F10:F11)</f>
        <v>68</v>
      </c>
      <c r="G24" s="64">
        <f t="shared" ref="G24:G27" si="6">IFERROR(F24/$F$19,)</f>
        <v>0.40476190476190477</v>
      </c>
      <c r="H24" s="65"/>
      <c r="I24" s="66" t="s">
        <v>498</v>
      </c>
      <c r="J24" s="73"/>
      <c r="K24" s="11"/>
      <c r="L24" s="11"/>
      <c r="M24" s="11"/>
      <c r="N24" s="11"/>
      <c r="O24" s="11"/>
      <c r="P24" s="11"/>
    </row>
    <row r="25" spans="2:16" x14ac:dyDescent="0.25">
      <c r="B25" s="11"/>
      <c r="C25" s="11"/>
      <c r="D25" s="11"/>
      <c r="E25" s="71" t="str">
        <f>DropDownLists!R5</f>
        <v>2 BR</v>
      </c>
      <c r="F25" s="72">
        <f>SUM(F12:F13)</f>
        <v>76</v>
      </c>
      <c r="G25" s="64">
        <f t="shared" si="6"/>
        <v>0.45238095238095238</v>
      </c>
      <c r="H25" s="65"/>
      <c r="I25" s="66" t="s">
        <v>495</v>
      </c>
      <c r="J25" s="73"/>
      <c r="K25" s="11"/>
      <c r="L25" s="11"/>
      <c r="M25" s="11"/>
      <c r="N25" s="11"/>
      <c r="O25" s="11"/>
      <c r="P25" s="11"/>
    </row>
    <row r="26" spans="2:16" x14ac:dyDescent="0.25">
      <c r="B26" s="11"/>
      <c r="C26" s="11"/>
      <c r="D26" s="11"/>
      <c r="E26" s="71" t="str">
        <f>DropDownLists!R6</f>
        <v>3 BR</v>
      </c>
      <c r="F26" s="72">
        <f>SUM(F14:F15)</f>
        <v>24</v>
      </c>
      <c r="G26" s="64">
        <f t="shared" si="6"/>
        <v>0.14285714285714285</v>
      </c>
      <c r="H26" s="65"/>
      <c r="I26" s="66" t="s">
        <v>499</v>
      </c>
      <c r="J26" s="74"/>
      <c r="K26" s="11"/>
      <c r="L26" s="11"/>
      <c r="M26" s="11"/>
      <c r="N26" s="11"/>
      <c r="O26" s="11"/>
      <c r="P26" s="11"/>
    </row>
    <row r="27" spans="2:16" x14ac:dyDescent="0.25">
      <c r="B27" s="11"/>
      <c r="C27" s="11"/>
      <c r="D27" s="11"/>
      <c r="E27" s="71">
        <f>DropDownLists!R7</f>
        <v>0</v>
      </c>
      <c r="F27" s="72">
        <f>SUMIF($C$10:$C$16,E27,$F$10:$F$16)</f>
        <v>0</v>
      </c>
      <c r="G27" s="64">
        <f t="shared" si="6"/>
        <v>0</v>
      </c>
      <c r="H27" s="65"/>
      <c r="I27" s="66" t="s">
        <v>500</v>
      </c>
      <c r="J27" s="75"/>
      <c r="K27" s="11"/>
      <c r="L27" s="11"/>
      <c r="M27" s="11"/>
      <c r="N27" s="11"/>
      <c r="O27" s="11"/>
      <c r="P27" s="11"/>
    </row>
    <row r="28" spans="2:16" x14ac:dyDescent="0.25">
      <c r="B28" s="11"/>
      <c r="C28" s="11"/>
      <c r="D28" s="11"/>
      <c r="E28" s="250"/>
      <c r="F28" s="251"/>
      <c r="G28" s="252"/>
      <c r="H28" s="65"/>
      <c r="I28" s="66"/>
      <c r="J28" s="253"/>
      <c r="K28" s="11"/>
      <c r="L28" s="11"/>
      <c r="M28" s="11"/>
      <c r="N28" s="11"/>
      <c r="O28" s="11"/>
      <c r="P28" s="11"/>
    </row>
    <row r="29" spans="2:16" x14ac:dyDescent="0.25">
      <c r="B29" s="11"/>
      <c r="C29" s="11"/>
      <c r="D29" s="11"/>
      <c r="E29" s="69" t="s">
        <v>686</v>
      </c>
      <c r="F29" s="251"/>
      <c r="G29" s="252"/>
      <c r="H29" s="65"/>
      <c r="I29" s="66"/>
      <c r="J29" s="253"/>
      <c r="K29" s="11"/>
      <c r="L29" s="11"/>
      <c r="M29" s="11"/>
      <c r="N29" s="11"/>
      <c r="O29" s="11"/>
      <c r="P29" s="11"/>
    </row>
    <row r="30" spans="2:16" x14ac:dyDescent="0.25">
      <c r="B30" s="11"/>
      <c r="C30" s="11"/>
      <c r="D30" s="11"/>
      <c r="E30" s="249">
        <f>DropDownLists!T3</f>
        <v>0.6</v>
      </c>
      <c r="F30" s="72">
        <f>+F10+F12+F14</f>
        <v>87</v>
      </c>
      <c r="G30" s="64">
        <f>IFERROR(F30/$F$19,)</f>
        <v>0.5178571428571429</v>
      </c>
      <c r="H30" s="65"/>
      <c r="I30" s="66"/>
      <c r="J30" s="253"/>
      <c r="K30" s="11"/>
      <c r="L30" s="11"/>
      <c r="M30" s="11"/>
      <c r="N30" s="11"/>
      <c r="O30" s="11"/>
      <c r="P30" s="11"/>
    </row>
    <row r="31" spans="2:16" x14ac:dyDescent="0.25">
      <c r="B31" s="11"/>
      <c r="C31" s="11"/>
      <c r="D31" s="11"/>
      <c r="E31" s="249">
        <f>DropDownLists!T4</f>
        <v>0.5</v>
      </c>
      <c r="F31" s="72">
        <f>F11+F13+F15</f>
        <v>81</v>
      </c>
      <c r="G31" s="64">
        <f t="shared" ref="G31:G34" si="7">IFERROR(F31/$F$19,)</f>
        <v>0.48214285714285715</v>
      </c>
      <c r="H31" s="65"/>
      <c r="I31" s="66"/>
      <c r="J31" s="253"/>
      <c r="K31" s="11"/>
      <c r="L31" s="11"/>
      <c r="M31" s="11"/>
      <c r="N31" s="11"/>
      <c r="O31" s="11"/>
      <c r="P31" s="11"/>
    </row>
    <row r="32" spans="2:16" x14ac:dyDescent="0.25">
      <c r="B32" s="11"/>
      <c r="C32" s="11"/>
      <c r="D32" s="11"/>
      <c r="E32" s="249">
        <f>DropDownLists!T5</f>
        <v>0.4</v>
      </c>
      <c r="F32" s="72" t="e">
        <f>+#REF!+#REF!+#REF!</f>
        <v>#REF!</v>
      </c>
      <c r="G32" s="64">
        <f t="shared" si="7"/>
        <v>0</v>
      </c>
      <c r="H32" s="65"/>
      <c r="I32" s="66"/>
      <c r="J32" s="253"/>
      <c r="K32" s="11"/>
      <c r="L32" s="11"/>
      <c r="M32" s="11"/>
      <c r="N32" s="11"/>
      <c r="O32" s="11"/>
      <c r="P32" s="11"/>
    </row>
    <row r="33" spans="2:16" x14ac:dyDescent="0.25">
      <c r="B33" s="11"/>
      <c r="C33" s="11"/>
      <c r="D33" s="11"/>
      <c r="E33" s="249">
        <f>DropDownLists!T6</f>
        <v>0.3</v>
      </c>
      <c r="F33" s="72" t="e">
        <f>+#REF!+#REF!+#REF!</f>
        <v>#REF!</v>
      </c>
      <c r="G33" s="64">
        <f t="shared" si="7"/>
        <v>0</v>
      </c>
      <c r="H33" s="289"/>
      <c r="I33" s="66"/>
      <c r="J33" s="253"/>
      <c r="K33" s="11"/>
      <c r="L33" s="11"/>
      <c r="M33" s="11"/>
      <c r="N33" s="11"/>
      <c r="O33" s="11"/>
      <c r="P33" s="11"/>
    </row>
    <row r="34" spans="2:16" x14ac:dyDescent="0.25">
      <c r="B34" s="11"/>
      <c r="C34" s="11"/>
      <c r="D34" s="11"/>
      <c r="E34" s="249" t="str">
        <f>DropDownLists!T7</f>
        <v>Market</v>
      </c>
      <c r="F34" s="72">
        <f>SUMIF($D$10:$D$16,E34,$F$10:$F$16)</f>
        <v>0</v>
      </c>
      <c r="G34" s="64">
        <f t="shared" si="7"/>
        <v>0</v>
      </c>
      <c r="H34" s="65"/>
      <c r="I34" s="66"/>
      <c r="J34" s="253"/>
      <c r="K34" s="11"/>
      <c r="L34" s="11"/>
      <c r="M34" s="11"/>
      <c r="N34" s="11"/>
      <c r="O34" s="11"/>
      <c r="P34" s="11"/>
    </row>
    <row r="35" spans="2:16" x14ac:dyDescent="0.25">
      <c r="B35" s="11"/>
      <c r="C35" s="11"/>
      <c r="D35" s="11"/>
      <c r="E35" s="76"/>
      <c r="F35" s="77"/>
      <c r="G35" s="77"/>
      <c r="H35" s="77"/>
      <c r="I35" s="77"/>
      <c r="J35" s="78"/>
      <c r="K35" s="11"/>
      <c r="L35" s="11"/>
      <c r="M35" s="11"/>
      <c r="N35" s="11"/>
      <c r="O35" s="11"/>
      <c r="P35" s="11"/>
    </row>
    <row r="36" spans="2:16" x14ac:dyDescent="0.25">
      <c r="B36" s="11"/>
      <c r="C36" s="11"/>
      <c r="D36" s="11"/>
      <c r="E36" s="79"/>
      <c r="F36" s="79"/>
      <c r="G36" s="79"/>
      <c r="H36" s="79"/>
      <c r="I36" s="79"/>
      <c r="J36" s="79"/>
      <c r="K36" s="11"/>
      <c r="L36" s="11"/>
      <c r="M36" s="11"/>
      <c r="N36" s="11"/>
      <c r="O36" s="11"/>
      <c r="P36" s="11"/>
    </row>
    <row r="37" spans="2:16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2:16" ht="15.75" x14ac:dyDescent="0.25">
      <c r="B38" s="33" t="s">
        <v>492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2:16" x14ac:dyDescent="0.25">
      <c r="B39" s="11"/>
      <c r="C39" s="11"/>
      <c r="D39" s="11"/>
      <c r="E39" s="322" t="s">
        <v>493</v>
      </c>
      <c r="F39" s="322"/>
      <c r="G39" s="322"/>
      <c r="H39" s="322"/>
      <c r="I39" s="322"/>
      <c r="J39" s="322"/>
      <c r="K39" s="11"/>
      <c r="L39" s="11"/>
      <c r="M39" s="11"/>
      <c r="N39" s="11"/>
      <c r="O39" s="11"/>
      <c r="P39" s="11"/>
    </row>
    <row r="40" spans="2:16" x14ac:dyDescent="0.25">
      <c r="B40" s="11"/>
      <c r="C40" s="11"/>
      <c r="D40" s="31" t="str">
        <f>'Project Description'!D10</f>
        <v>Wake County</v>
      </c>
      <c r="E40" s="80" t="str">
        <f>'Income Limits &amp; Max Rents'!I8</f>
        <v>1-person</v>
      </c>
      <c r="F40" s="80" t="str">
        <f>'Income Limits &amp; Max Rents'!J8</f>
        <v>2-person</v>
      </c>
      <c r="G40" s="80" t="str">
        <f>'Income Limits &amp; Max Rents'!K8</f>
        <v>3-person</v>
      </c>
      <c r="H40" s="80" t="str">
        <f>'Income Limits &amp; Max Rents'!L8</f>
        <v>4-person</v>
      </c>
      <c r="I40" s="80" t="str">
        <f>'Income Limits &amp; Max Rents'!M8</f>
        <v>5-person</v>
      </c>
      <c r="J40" s="80" t="str">
        <f>'Income Limits &amp; Max Rents'!N8</f>
        <v>6-person</v>
      </c>
      <c r="K40" s="11"/>
      <c r="L40" s="11"/>
      <c r="M40" s="11"/>
      <c r="N40" s="11"/>
      <c r="O40" s="11"/>
      <c r="P40" s="11"/>
    </row>
    <row r="41" spans="2:16" x14ac:dyDescent="0.25">
      <c r="B41" s="11"/>
      <c r="C41" s="327" t="s">
        <v>494</v>
      </c>
      <c r="D41" s="81">
        <f>DropDownLists!T3</f>
        <v>0.6</v>
      </c>
      <c r="E41" s="82">
        <f>IFERROR(INDEX('Income Limits &amp; Max Rents'!$B$7:$AT$108,MATCH($D$40,'Income Limits &amp; Max Rents'!$B$7:$B$108,0),MATCH($D41&amp;"_"&amp;E$40,'Income Limits &amp; Max Rents'!$B$7:$AT$7,0)),)</f>
        <v>31860</v>
      </c>
      <c r="F41" s="83">
        <f>IFERROR(INDEX('Income Limits &amp; Max Rents'!$B$7:$AT$108,MATCH($D$40,'Income Limits &amp; Max Rents'!$B$7:$B$108,0),MATCH($D41&amp;"_"&amp;F$40,'Income Limits &amp; Max Rents'!$B$7:$AT$7,0)),)</f>
        <v>36420</v>
      </c>
      <c r="G41" s="83">
        <f>IFERROR(INDEX('Income Limits &amp; Max Rents'!$B$7:$AT$108,MATCH($D$40,'Income Limits &amp; Max Rents'!$B$7:$B$108,0),MATCH($D41&amp;"_"&amp;G$40,'Income Limits &amp; Max Rents'!$B$7:$AT$7,0)),)</f>
        <v>40980</v>
      </c>
      <c r="H41" s="83">
        <f>IFERROR(INDEX('Income Limits &amp; Max Rents'!$B$7:$AT$108,MATCH($D$40,'Income Limits &amp; Max Rents'!$B$7:$B$108,0),MATCH($D41&amp;"_"&amp;H$40,'Income Limits &amp; Max Rents'!$B$7:$AT$7,0)),)</f>
        <v>45480</v>
      </c>
      <c r="I41" s="83">
        <f>IFERROR(INDEX('Income Limits &amp; Max Rents'!$B$7:$AT$108,MATCH($D$40,'Income Limits &amp; Max Rents'!$B$7:$B$108,0),MATCH($D41&amp;"_"&amp;I$40,'Income Limits &amp; Max Rents'!$B$7:$AT$7,0)),)</f>
        <v>49140</v>
      </c>
      <c r="J41" s="84">
        <f>IFERROR(INDEX('Income Limits &amp; Max Rents'!$B$7:$AT$108,MATCH($D$40,'Income Limits &amp; Max Rents'!$B$7:$B$108,0),MATCH($D41&amp;"_"&amp;J$40,'Income Limits &amp; Max Rents'!$B$7:$AT$7,0)),)</f>
        <v>52800</v>
      </c>
      <c r="K41" s="11"/>
      <c r="L41" s="11"/>
      <c r="M41" s="11"/>
      <c r="N41" s="11"/>
      <c r="O41" s="11"/>
      <c r="P41" s="11"/>
    </row>
    <row r="42" spans="2:16" x14ac:dyDescent="0.25">
      <c r="B42" s="11"/>
      <c r="C42" s="327"/>
      <c r="D42" s="81">
        <f>DropDownLists!T4</f>
        <v>0.5</v>
      </c>
      <c r="E42" s="85">
        <f>IFERROR(INDEX('Income Limits &amp; Max Rents'!$B$7:$AT$108,MATCH($D$40,'Income Limits &amp; Max Rents'!$B$7:$B$108,0),MATCH($D42&amp;"_"&amp;E$40,'Income Limits &amp; Max Rents'!$B$7:$AT$7,0)),)</f>
        <v>26550</v>
      </c>
      <c r="F42" s="86">
        <f>IFERROR(INDEX('Income Limits &amp; Max Rents'!$B$7:$AT$108,MATCH($D$40,'Income Limits &amp; Max Rents'!$B$7:$B$108,0),MATCH($D42&amp;"_"&amp;F$40,'Income Limits &amp; Max Rents'!$B$7:$AT$7,0)),)</f>
        <v>30350</v>
      </c>
      <c r="G42" s="86">
        <f>IFERROR(INDEX('Income Limits &amp; Max Rents'!$B$7:$AT$108,MATCH($D$40,'Income Limits &amp; Max Rents'!$B$7:$B$108,0),MATCH($D42&amp;"_"&amp;G$40,'Income Limits &amp; Max Rents'!$B$7:$AT$7,0)),)</f>
        <v>34150</v>
      </c>
      <c r="H42" s="86">
        <f>IFERROR(INDEX('Income Limits &amp; Max Rents'!$B$7:$AT$108,MATCH($D$40,'Income Limits &amp; Max Rents'!$B$7:$B$108,0),MATCH($D42&amp;"_"&amp;H$40,'Income Limits &amp; Max Rents'!$B$7:$AT$7,0)),)</f>
        <v>37900</v>
      </c>
      <c r="I42" s="86">
        <f>IFERROR(INDEX('Income Limits &amp; Max Rents'!$B$7:$AT$108,MATCH($D$40,'Income Limits &amp; Max Rents'!$B$7:$B$108,0),MATCH($D42&amp;"_"&amp;I$40,'Income Limits &amp; Max Rents'!$B$7:$AT$7,0)),)</f>
        <v>40950</v>
      </c>
      <c r="J42" s="87">
        <f>IFERROR(INDEX('Income Limits &amp; Max Rents'!$B$7:$AT$108,MATCH($D$40,'Income Limits &amp; Max Rents'!$B$7:$B$108,0),MATCH($D42&amp;"_"&amp;J$40,'Income Limits &amp; Max Rents'!$B$7:$AT$7,0)),)</f>
        <v>44000</v>
      </c>
      <c r="K42" s="11"/>
      <c r="L42" s="11"/>
      <c r="M42" s="11"/>
      <c r="N42" s="11"/>
      <c r="O42" s="11"/>
      <c r="P42" s="11"/>
    </row>
    <row r="43" spans="2:16" x14ac:dyDescent="0.25">
      <c r="B43" s="11"/>
      <c r="C43" s="327"/>
      <c r="D43" s="81">
        <f>DropDownLists!T5</f>
        <v>0.4</v>
      </c>
      <c r="E43" s="85">
        <f>IFERROR(INDEX('Income Limits &amp; Max Rents'!$B$7:$AT$108,MATCH($D$40,'Income Limits &amp; Max Rents'!$B$7:$B$108,0),MATCH($D43&amp;"_"&amp;E$40,'Income Limits &amp; Max Rents'!$B$7:$AT$7,0)),)</f>
        <v>21240</v>
      </c>
      <c r="F43" s="86">
        <f>IFERROR(INDEX('Income Limits &amp; Max Rents'!$B$7:$AT$108,MATCH($D$40,'Income Limits &amp; Max Rents'!$B$7:$B$108,0),MATCH($D43&amp;"_"&amp;F$40,'Income Limits &amp; Max Rents'!$B$7:$AT$7,0)),)</f>
        <v>24280</v>
      </c>
      <c r="G43" s="86">
        <f>IFERROR(INDEX('Income Limits &amp; Max Rents'!$B$7:$AT$108,MATCH($D$40,'Income Limits &amp; Max Rents'!$B$7:$B$108,0),MATCH($D43&amp;"_"&amp;G$40,'Income Limits &amp; Max Rents'!$B$7:$AT$7,0)),)</f>
        <v>27320</v>
      </c>
      <c r="H43" s="86">
        <f>IFERROR(INDEX('Income Limits &amp; Max Rents'!$B$7:$AT$108,MATCH($D$40,'Income Limits &amp; Max Rents'!$B$7:$B$108,0),MATCH($D43&amp;"_"&amp;H$40,'Income Limits &amp; Max Rents'!$B$7:$AT$7,0)),)</f>
        <v>30320</v>
      </c>
      <c r="I43" s="86">
        <f>IFERROR(INDEX('Income Limits &amp; Max Rents'!$B$7:$AT$108,MATCH($D$40,'Income Limits &amp; Max Rents'!$B$7:$B$108,0),MATCH($D43&amp;"_"&amp;I$40,'Income Limits &amp; Max Rents'!$B$7:$AT$7,0)),)</f>
        <v>32760</v>
      </c>
      <c r="J43" s="87">
        <f>IFERROR(INDEX('Income Limits &amp; Max Rents'!$B$7:$AT$108,MATCH($D$40,'Income Limits &amp; Max Rents'!$B$7:$B$108,0),MATCH($D43&amp;"_"&amp;J$40,'Income Limits &amp; Max Rents'!$B$7:$AT$7,0)),)</f>
        <v>35200</v>
      </c>
      <c r="K43" s="11"/>
      <c r="L43" s="11"/>
      <c r="M43" s="11"/>
      <c r="N43" s="11"/>
      <c r="O43" s="11"/>
      <c r="P43" s="11"/>
    </row>
    <row r="44" spans="2:16" x14ac:dyDescent="0.25">
      <c r="B44" s="11"/>
      <c r="C44" s="327"/>
      <c r="D44" s="81">
        <f>DropDownLists!T6</f>
        <v>0.3</v>
      </c>
      <c r="E44" s="88">
        <f>IFERROR(INDEX('Income Limits &amp; Max Rents'!$B$7:$AT$108,MATCH($D$40,'Income Limits &amp; Max Rents'!$B$7:$B$108,0),MATCH($D44&amp;"_"&amp;E$40,'Income Limits &amp; Max Rents'!$B$7:$AT$7,0)),)</f>
        <v>15930</v>
      </c>
      <c r="F44" s="89">
        <f>IFERROR(INDEX('Income Limits &amp; Max Rents'!$B$7:$AT$108,MATCH($D$40,'Income Limits &amp; Max Rents'!$B$7:$B$108,0),MATCH($D44&amp;"_"&amp;F$40,'Income Limits &amp; Max Rents'!$B$7:$AT$7,0)),)</f>
        <v>18210</v>
      </c>
      <c r="G44" s="89">
        <f>IFERROR(INDEX('Income Limits &amp; Max Rents'!$B$7:$AT$108,MATCH($D$40,'Income Limits &amp; Max Rents'!$B$7:$B$108,0),MATCH($D44&amp;"_"&amp;G$40,'Income Limits &amp; Max Rents'!$B$7:$AT$7,0)),)</f>
        <v>20490</v>
      </c>
      <c r="H44" s="89">
        <f>IFERROR(INDEX('Income Limits &amp; Max Rents'!$B$7:$AT$108,MATCH($D$40,'Income Limits &amp; Max Rents'!$B$7:$B$108,0),MATCH($D44&amp;"_"&amp;H$40,'Income Limits &amp; Max Rents'!$B$7:$AT$7,0)),)</f>
        <v>22740</v>
      </c>
      <c r="I44" s="89">
        <f>IFERROR(INDEX('Income Limits &amp; Max Rents'!$B$7:$AT$108,MATCH($D$40,'Income Limits &amp; Max Rents'!$B$7:$B$108,0),MATCH($D44&amp;"_"&amp;I$40,'Income Limits &amp; Max Rents'!$B$7:$AT$7,0)),)</f>
        <v>24570</v>
      </c>
      <c r="J44" s="90">
        <f>IFERROR(INDEX('Income Limits &amp; Max Rents'!$B$7:$AT$108,MATCH($D$40,'Income Limits &amp; Max Rents'!$B$7:$B$108,0),MATCH($D44&amp;"_"&amp;J$40,'Income Limits &amp; Max Rents'!$B$7:$AT$7,0)),)</f>
        <v>26400</v>
      </c>
      <c r="K44" s="11"/>
      <c r="L44" s="11"/>
      <c r="M44" s="11"/>
      <c r="N44" s="11"/>
      <c r="O44" s="11"/>
      <c r="P44" s="11"/>
    </row>
    <row r="45" spans="2:16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2:16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87"/>
    </row>
    <row r="47" spans="2:16" ht="15.75" x14ac:dyDescent="0.25">
      <c r="B47" s="33" t="s">
        <v>565</v>
      </c>
      <c r="C47" s="11"/>
      <c r="D47" s="11"/>
      <c r="E47" s="11"/>
      <c r="F47" s="11"/>
      <c r="G47" s="11"/>
      <c r="H47" s="11"/>
      <c r="I47" s="271"/>
      <c r="J47" s="11" t="s">
        <v>705</v>
      </c>
      <c r="K47" s="11"/>
      <c r="L47" s="11"/>
      <c r="M47" s="11"/>
      <c r="N47" s="11"/>
      <c r="O47" s="11"/>
      <c r="P47" s="187"/>
    </row>
    <row r="48" spans="2:16" x14ac:dyDescent="0.25">
      <c r="B48" s="11"/>
      <c r="C48" s="11" t="s">
        <v>501</v>
      </c>
      <c r="D48" s="11"/>
      <c r="E48" s="11"/>
      <c r="F48" s="91" t="s">
        <v>502</v>
      </c>
      <c r="G48" s="91" t="s">
        <v>503</v>
      </c>
      <c r="H48" s="91" t="s">
        <v>566</v>
      </c>
      <c r="I48" s="187"/>
      <c r="J48" s="34"/>
      <c r="K48" s="11"/>
      <c r="L48" s="11"/>
      <c r="M48" s="11"/>
      <c r="N48" s="11"/>
      <c r="O48" s="11"/>
      <c r="P48" s="300"/>
    </row>
    <row r="49" spans="2:16" x14ac:dyDescent="0.25">
      <c r="B49" s="11"/>
      <c r="C49" s="328" t="s">
        <v>505</v>
      </c>
      <c r="D49" s="328"/>
      <c r="E49" s="328"/>
      <c r="F49" s="92"/>
      <c r="G49" s="92"/>
      <c r="H49" s="92"/>
      <c r="I49" s="187"/>
      <c r="J49" s="11"/>
      <c r="K49" s="11"/>
      <c r="L49" s="11"/>
      <c r="M49" s="11"/>
      <c r="N49" s="11"/>
      <c r="O49" s="11"/>
      <c r="P49" s="299"/>
    </row>
    <row r="50" spans="2:16" x14ac:dyDescent="0.25">
      <c r="B50" s="11"/>
      <c r="C50" s="329" t="s">
        <v>506</v>
      </c>
      <c r="D50" s="329"/>
      <c r="E50" s="329"/>
      <c r="F50" s="93"/>
      <c r="G50" s="94">
        <f>IFERROR(F50/$F$19,)</f>
        <v>0</v>
      </c>
      <c r="H50" s="95">
        <f>IFERROR(F50/$J$22,)</f>
        <v>0</v>
      </c>
      <c r="I50" s="272"/>
      <c r="J50" s="11"/>
      <c r="K50" s="11"/>
      <c r="L50" s="11"/>
      <c r="M50" s="11"/>
      <c r="N50" s="11"/>
      <c r="O50" s="11"/>
      <c r="P50" s="299"/>
    </row>
    <row r="51" spans="2:16" x14ac:dyDescent="0.25">
      <c r="B51" s="11"/>
      <c r="C51" s="329" t="s">
        <v>507</v>
      </c>
      <c r="D51" s="329"/>
      <c r="E51" s="329"/>
      <c r="F51" s="93"/>
      <c r="G51" s="94">
        <f t="shared" ref="G51:G62" si="8">IFERROR(F51/$F$19,)</f>
        <v>0</v>
      </c>
      <c r="H51" s="95">
        <f t="shared" ref="H51:H62" si="9">IFERROR(F51/$J$22,)</f>
        <v>0</v>
      </c>
      <c r="I51" s="272"/>
      <c r="J51" s="61"/>
      <c r="K51" s="11"/>
      <c r="L51" s="11"/>
      <c r="M51" s="11"/>
      <c r="N51" s="11"/>
      <c r="O51" s="11"/>
      <c r="P51" s="299"/>
    </row>
    <row r="52" spans="2:16" x14ac:dyDescent="0.25">
      <c r="B52" s="11"/>
      <c r="C52" s="329" t="s">
        <v>508</v>
      </c>
      <c r="D52" s="329"/>
      <c r="E52" s="329"/>
      <c r="F52" s="93"/>
      <c r="G52" s="94">
        <f t="shared" si="8"/>
        <v>0</v>
      </c>
      <c r="H52" s="95">
        <f t="shared" si="9"/>
        <v>0</v>
      </c>
      <c r="I52" s="272"/>
      <c r="J52" s="11"/>
      <c r="K52" s="11"/>
      <c r="L52" s="11"/>
      <c r="M52" s="11"/>
      <c r="N52" s="11"/>
      <c r="O52" s="11"/>
      <c r="P52" s="299"/>
    </row>
    <row r="53" spans="2:16" x14ac:dyDescent="0.25">
      <c r="B53" s="11"/>
      <c r="C53" s="329" t="s">
        <v>509</v>
      </c>
      <c r="D53" s="329"/>
      <c r="E53" s="329"/>
      <c r="F53" s="93"/>
      <c r="G53" s="94">
        <f t="shared" si="8"/>
        <v>0</v>
      </c>
      <c r="H53" s="95">
        <f t="shared" si="9"/>
        <v>0</v>
      </c>
      <c r="I53" s="272"/>
      <c r="J53" s="11"/>
      <c r="K53" s="11"/>
      <c r="L53" s="11"/>
      <c r="M53" s="11"/>
      <c r="N53" s="11"/>
      <c r="O53" s="11"/>
      <c r="P53" s="52"/>
    </row>
    <row r="54" spans="2:16" x14ac:dyDescent="0.25">
      <c r="B54" s="11"/>
      <c r="C54" s="329" t="s">
        <v>510</v>
      </c>
      <c r="D54" s="329"/>
      <c r="E54" s="329"/>
      <c r="F54" s="254"/>
      <c r="G54" s="94">
        <f t="shared" si="8"/>
        <v>0</v>
      </c>
      <c r="H54" s="95">
        <f t="shared" si="9"/>
        <v>0</v>
      </c>
      <c r="I54" s="273"/>
      <c r="J54" s="11"/>
      <c r="K54" s="11"/>
      <c r="L54" s="11"/>
      <c r="M54" s="11"/>
      <c r="N54" s="11"/>
      <c r="O54" s="11"/>
      <c r="P54" s="52"/>
    </row>
    <row r="55" spans="2:16" x14ac:dyDescent="0.25">
      <c r="B55" s="11"/>
      <c r="C55" s="329" t="s">
        <v>511</v>
      </c>
      <c r="D55" s="329"/>
      <c r="E55" s="329"/>
      <c r="F55" s="93"/>
      <c r="G55" s="94">
        <f t="shared" si="8"/>
        <v>0</v>
      </c>
      <c r="H55" s="95">
        <f t="shared" si="9"/>
        <v>0</v>
      </c>
      <c r="I55" s="272"/>
      <c r="J55" s="11"/>
      <c r="K55" s="11"/>
      <c r="L55" s="11"/>
      <c r="M55" s="11"/>
      <c r="N55" s="11"/>
      <c r="O55" s="11"/>
      <c r="P55" s="52"/>
    </row>
    <row r="56" spans="2:16" x14ac:dyDescent="0.25">
      <c r="B56" s="11"/>
      <c r="C56" s="329" t="s">
        <v>512</v>
      </c>
      <c r="D56" s="329"/>
      <c r="E56" s="329"/>
      <c r="F56" s="93"/>
      <c r="G56" s="94">
        <f t="shared" si="8"/>
        <v>0</v>
      </c>
      <c r="H56" s="95">
        <f t="shared" si="9"/>
        <v>0</v>
      </c>
      <c r="I56" s="272"/>
      <c r="J56" s="11"/>
      <c r="K56" s="11"/>
      <c r="L56" s="11"/>
      <c r="M56" s="11"/>
      <c r="N56" s="11"/>
      <c r="O56" s="11"/>
      <c r="P56" s="52"/>
    </row>
    <row r="57" spans="2:16" x14ac:dyDescent="0.25">
      <c r="B57" s="11"/>
      <c r="C57" s="329" t="s">
        <v>513</v>
      </c>
      <c r="D57" s="329"/>
      <c r="E57" s="329"/>
      <c r="F57" s="93"/>
      <c r="G57" s="94">
        <f t="shared" si="8"/>
        <v>0</v>
      </c>
      <c r="H57" s="95">
        <f t="shared" si="9"/>
        <v>0</v>
      </c>
      <c r="I57" s="272"/>
      <c r="J57" s="11"/>
      <c r="K57" s="11"/>
      <c r="L57" s="11"/>
      <c r="M57" s="11"/>
      <c r="N57" s="11"/>
      <c r="O57" s="11"/>
      <c r="P57" s="52"/>
    </row>
    <row r="58" spans="2:16" x14ac:dyDescent="0.25">
      <c r="B58" s="11"/>
      <c r="C58" s="329" t="s">
        <v>514</v>
      </c>
      <c r="D58" s="329"/>
      <c r="E58" s="329"/>
      <c r="F58" s="93"/>
      <c r="G58" s="94">
        <f t="shared" si="8"/>
        <v>0</v>
      </c>
      <c r="H58" s="95">
        <f t="shared" si="9"/>
        <v>0</v>
      </c>
      <c r="I58" s="272"/>
      <c r="J58" s="11"/>
      <c r="K58" s="11"/>
      <c r="L58" s="11"/>
      <c r="M58" s="11"/>
      <c r="N58" s="11"/>
      <c r="O58" s="11"/>
      <c r="P58" s="52"/>
    </row>
    <row r="59" spans="2:16" x14ac:dyDescent="0.25">
      <c r="B59" s="11"/>
      <c r="C59" s="329" t="s">
        <v>515</v>
      </c>
      <c r="D59" s="329"/>
      <c r="E59" s="329"/>
      <c r="F59" s="254"/>
      <c r="G59" s="94">
        <f t="shared" si="8"/>
        <v>0</v>
      </c>
      <c r="H59" s="95">
        <f t="shared" si="9"/>
        <v>0</v>
      </c>
      <c r="I59" s="273"/>
      <c r="J59" s="11"/>
      <c r="K59" s="11"/>
      <c r="L59" s="11"/>
      <c r="M59" s="11"/>
      <c r="N59" s="11"/>
      <c r="O59" s="11"/>
      <c r="P59" s="52"/>
    </row>
    <row r="60" spans="2:16" x14ac:dyDescent="0.25">
      <c r="B60" s="11"/>
      <c r="C60" s="329" t="s">
        <v>516</v>
      </c>
      <c r="D60" s="329"/>
      <c r="E60" s="329"/>
      <c r="F60" s="93"/>
      <c r="G60" s="94">
        <f t="shared" si="8"/>
        <v>0</v>
      </c>
      <c r="H60" s="95">
        <f t="shared" si="9"/>
        <v>0</v>
      </c>
      <c r="I60" s="272"/>
      <c r="J60" s="11"/>
      <c r="K60" s="11"/>
      <c r="L60" s="11"/>
      <c r="M60" s="11"/>
      <c r="N60" s="11"/>
      <c r="O60" s="11"/>
      <c r="P60" s="52"/>
    </row>
    <row r="61" spans="2:16" x14ac:dyDescent="0.25">
      <c r="B61" s="11"/>
      <c r="C61" s="329" t="s">
        <v>517</v>
      </c>
      <c r="D61" s="329"/>
      <c r="E61" s="329"/>
      <c r="F61" s="93"/>
      <c r="G61" s="94">
        <f t="shared" si="8"/>
        <v>0</v>
      </c>
      <c r="H61" s="95">
        <f t="shared" si="9"/>
        <v>0</v>
      </c>
      <c r="I61" s="272"/>
      <c r="J61" s="11"/>
      <c r="K61" s="11"/>
      <c r="L61" s="11"/>
      <c r="M61" s="11"/>
      <c r="N61" s="11"/>
      <c r="O61" s="11"/>
      <c r="P61" s="52"/>
    </row>
    <row r="62" spans="2:16" x14ac:dyDescent="0.25">
      <c r="B62" s="11"/>
      <c r="C62" s="329" t="s">
        <v>637</v>
      </c>
      <c r="D62" s="329"/>
      <c r="E62" s="329"/>
      <c r="F62" s="93"/>
      <c r="G62" s="94">
        <f t="shared" si="8"/>
        <v>0</v>
      </c>
      <c r="H62" s="95">
        <f t="shared" si="9"/>
        <v>0</v>
      </c>
      <c r="I62" s="272"/>
      <c r="J62" s="11"/>
      <c r="K62" s="11"/>
      <c r="L62" s="11"/>
      <c r="M62" s="11"/>
      <c r="N62" s="11"/>
      <c r="O62" s="11"/>
      <c r="P62" s="52"/>
    </row>
    <row r="63" spans="2:16" x14ac:dyDescent="0.25">
      <c r="B63" s="11"/>
      <c r="C63" s="330" t="s">
        <v>567</v>
      </c>
      <c r="D63" s="330"/>
      <c r="E63" s="330"/>
      <c r="F63" s="96">
        <f>SUM(F50:F62)</f>
        <v>0</v>
      </c>
      <c r="G63" s="96">
        <f>IFERROR(F63/$F$19,)</f>
        <v>0</v>
      </c>
      <c r="H63" s="97">
        <f>IFERROR(F63/$J$22,)</f>
        <v>0</v>
      </c>
      <c r="I63" s="274"/>
      <c r="J63" s="11"/>
      <c r="K63" s="11"/>
      <c r="L63" s="11"/>
      <c r="M63" s="11"/>
      <c r="N63" s="11"/>
      <c r="O63" s="11"/>
      <c r="P63" s="52"/>
    </row>
    <row r="64" spans="2:16" x14ac:dyDescent="0.25">
      <c r="B64" s="11"/>
      <c r="C64" s="13"/>
      <c r="D64" s="238"/>
      <c r="E64" s="238"/>
      <c r="F64" s="98"/>
      <c r="G64" s="98"/>
      <c r="H64" s="99"/>
      <c r="I64" s="272"/>
      <c r="J64" s="11"/>
      <c r="K64" s="11"/>
      <c r="L64" s="11"/>
      <c r="M64" s="11"/>
      <c r="N64" s="11"/>
      <c r="O64" s="11"/>
      <c r="P64" s="52"/>
    </row>
    <row r="65" spans="2:16" x14ac:dyDescent="0.25">
      <c r="B65" s="11"/>
      <c r="C65" s="331" t="s">
        <v>518</v>
      </c>
      <c r="D65" s="331"/>
      <c r="E65" s="331"/>
      <c r="F65" s="98"/>
      <c r="G65" s="98"/>
      <c r="H65" s="99"/>
      <c r="I65" s="272"/>
      <c r="J65" s="11"/>
      <c r="K65" s="11"/>
      <c r="L65" s="11"/>
      <c r="M65" s="11"/>
      <c r="N65" s="11"/>
      <c r="O65" s="11"/>
      <c r="P65" s="52"/>
    </row>
    <row r="66" spans="2:16" x14ac:dyDescent="0.25">
      <c r="B66" s="11"/>
      <c r="C66" s="329" t="s">
        <v>519</v>
      </c>
      <c r="D66" s="329"/>
      <c r="E66" s="329"/>
      <c r="F66" s="93"/>
      <c r="G66" s="94">
        <f>IFERROR(F66/$F$19,)</f>
        <v>0</v>
      </c>
      <c r="H66" s="95">
        <f>IFERROR(F66/$J$22,)</f>
        <v>0</v>
      </c>
      <c r="I66" s="272"/>
      <c r="J66" s="11"/>
      <c r="K66" s="11"/>
      <c r="L66" s="11"/>
      <c r="M66" s="11"/>
      <c r="N66" s="11"/>
      <c r="O66" s="11"/>
      <c r="P66" s="52"/>
    </row>
    <row r="67" spans="2:16" x14ac:dyDescent="0.25">
      <c r="B67" s="11"/>
      <c r="C67" s="329" t="s">
        <v>520</v>
      </c>
      <c r="D67" s="329"/>
      <c r="E67" s="329"/>
      <c r="F67" s="93"/>
      <c r="G67" s="94">
        <f t="shared" ref="G67:G70" si="10">IFERROR(F67/$F$19,)</f>
        <v>0</v>
      </c>
      <c r="H67" s="95">
        <f t="shared" ref="H67:H70" si="11">IFERROR(F67/$J$22,)</f>
        <v>0</v>
      </c>
      <c r="I67" s="272"/>
      <c r="J67" s="11"/>
      <c r="K67" s="11"/>
      <c r="L67" s="11"/>
      <c r="M67" s="11"/>
      <c r="N67" s="11"/>
      <c r="O67" s="11"/>
      <c r="P67" s="52"/>
    </row>
    <row r="68" spans="2:16" x14ac:dyDescent="0.25">
      <c r="B68" s="11"/>
      <c r="C68" s="329" t="s">
        <v>521</v>
      </c>
      <c r="D68" s="329"/>
      <c r="E68" s="329"/>
      <c r="F68" s="93"/>
      <c r="G68" s="94">
        <f t="shared" si="10"/>
        <v>0</v>
      </c>
      <c r="H68" s="95">
        <f t="shared" si="11"/>
        <v>0</v>
      </c>
      <c r="I68" s="272"/>
      <c r="J68" s="11"/>
      <c r="K68" s="11"/>
      <c r="L68" s="11"/>
      <c r="M68" s="11"/>
      <c r="N68" s="11"/>
      <c r="O68" s="11"/>
      <c r="P68" s="52"/>
    </row>
    <row r="69" spans="2:16" x14ac:dyDescent="0.25">
      <c r="B69" s="11"/>
      <c r="C69" s="329" t="s">
        <v>522</v>
      </c>
      <c r="D69" s="329"/>
      <c r="E69" s="329"/>
      <c r="F69" s="93"/>
      <c r="G69" s="94">
        <f t="shared" si="10"/>
        <v>0</v>
      </c>
      <c r="H69" s="95">
        <f t="shared" si="11"/>
        <v>0</v>
      </c>
      <c r="I69" s="272"/>
      <c r="J69" s="11"/>
      <c r="K69" s="11"/>
      <c r="L69" s="11"/>
      <c r="M69" s="11"/>
      <c r="N69" s="11"/>
      <c r="O69" s="11"/>
      <c r="P69" s="52"/>
    </row>
    <row r="70" spans="2:16" x14ac:dyDescent="0.25">
      <c r="B70" s="11"/>
      <c r="C70" s="329" t="s">
        <v>523</v>
      </c>
      <c r="D70" s="329"/>
      <c r="E70" s="329"/>
      <c r="F70" s="93"/>
      <c r="G70" s="94">
        <f t="shared" si="10"/>
        <v>0</v>
      </c>
      <c r="H70" s="95">
        <f t="shared" si="11"/>
        <v>0</v>
      </c>
      <c r="I70" s="272"/>
      <c r="J70" s="11"/>
      <c r="K70" s="11"/>
      <c r="L70" s="11"/>
      <c r="M70" s="11"/>
      <c r="N70" s="11"/>
      <c r="O70" s="11"/>
      <c r="P70" s="52"/>
    </row>
    <row r="71" spans="2:16" x14ac:dyDescent="0.25">
      <c r="B71" s="11"/>
      <c r="C71" s="330" t="s">
        <v>567</v>
      </c>
      <c r="D71" s="330"/>
      <c r="E71" s="330"/>
      <c r="F71" s="96">
        <f>SUM(F66:F70)</f>
        <v>0</v>
      </c>
      <c r="G71" s="96">
        <f>IFERROR(F71/$F$19,)</f>
        <v>0</v>
      </c>
      <c r="H71" s="97">
        <f>IFERROR(F71/$J$22,)</f>
        <v>0</v>
      </c>
      <c r="I71" s="274"/>
      <c r="J71" s="11"/>
      <c r="K71" s="11"/>
      <c r="L71" s="11"/>
      <c r="M71" s="11"/>
      <c r="N71" s="11"/>
      <c r="O71" s="11"/>
      <c r="P71" s="52"/>
    </row>
    <row r="72" spans="2:16" x14ac:dyDescent="0.25">
      <c r="B72" s="11"/>
      <c r="C72" s="12"/>
      <c r="D72" s="11"/>
      <c r="E72" s="11"/>
      <c r="F72" s="98"/>
      <c r="G72" s="98"/>
      <c r="H72" s="99"/>
      <c r="I72" s="272"/>
      <c r="J72" s="11"/>
      <c r="K72" s="11"/>
      <c r="L72" s="11"/>
      <c r="M72" s="11"/>
      <c r="N72" s="11"/>
      <c r="O72" s="11"/>
      <c r="P72" s="52"/>
    </row>
    <row r="73" spans="2:16" x14ac:dyDescent="0.25">
      <c r="B73" s="11"/>
      <c r="C73" s="326" t="s">
        <v>556</v>
      </c>
      <c r="D73" s="326"/>
      <c r="E73" s="326"/>
      <c r="F73" s="98"/>
      <c r="G73" s="98"/>
      <c r="H73" s="99"/>
      <c r="I73" s="272"/>
      <c r="J73" s="11"/>
      <c r="K73" s="11"/>
      <c r="L73" s="11"/>
      <c r="M73" s="11"/>
      <c r="N73" s="11"/>
      <c r="O73" s="11"/>
      <c r="P73" s="52"/>
    </row>
    <row r="74" spans="2:16" x14ac:dyDescent="0.25">
      <c r="B74" s="11"/>
      <c r="C74" s="329" t="s">
        <v>524</v>
      </c>
      <c r="D74" s="329"/>
      <c r="E74" s="329"/>
      <c r="F74" s="93"/>
      <c r="G74" s="94">
        <f>IFERROR(F74/$F$19,)</f>
        <v>0</v>
      </c>
      <c r="H74" s="95">
        <f>IFERROR(F74/$J$22,)</f>
        <v>0</v>
      </c>
      <c r="I74" s="272"/>
      <c r="J74" s="11"/>
      <c r="K74" s="11"/>
      <c r="L74" s="11"/>
      <c r="M74" s="11"/>
      <c r="N74" s="11"/>
      <c r="O74" s="11"/>
      <c r="P74" s="52"/>
    </row>
    <row r="75" spans="2:16" x14ac:dyDescent="0.25">
      <c r="B75" s="11"/>
      <c r="C75" s="329" t="s">
        <v>525</v>
      </c>
      <c r="D75" s="329"/>
      <c r="E75" s="329"/>
      <c r="F75" s="93"/>
      <c r="G75" s="94">
        <f t="shared" ref="G75:G95" si="12">IFERROR(F75/$F$19,)</f>
        <v>0</v>
      </c>
      <c r="H75" s="95">
        <f t="shared" ref="H75:H95" si="13">IFERROR(F75/$J$22,)</f>
        <v>0</v>
      </c>
      <c r="I75" s="272"/>
      <c r="J75" s="11"/>
      <c r="K75" s="11"/>
      <c r="L75" s="11"/>
      <c r="M75" s="11"/>
      <c r="N75" s="11"/>
      <c r="O75" s="11"/>
      <c r="P75" s="52"/>
    </row>
    <row r="76" spans="2:16" x14ac:dyDescent="0.25">
      <c r="B76" s="11"/>
      <c r="C76" s="329" t="s">
        <v>526</v>
      </c>
      <c r="D76" s="329"/>
      <c r="E76" s="329"/>
      <c r="F76" s="93"/>
      <c r="G76" s="94">
        <f t="shared" si="12"/>
        <v>0</v>
      </c>
      <c r="H76" s="95">
        <f t="shared" si="13"/>
        <v>0</v>
      </c>
      <c r="I76" s="272"/>
      <c r="J76" s="11"/>
      <c r="K76" s="11"/>
      <c r="L76" s="11"/>
      <c r="M76" s="11"/>
      <c r="N76" s="11"/>
      <c r="O76" s="11"/>
      <c r="P76" s="52"/>
    </row>
    <row r="77" spans="2:16" x14ac:dyDescent="0.25">
      <c r="B77" s="11"/>
      <c r="C77" s="329" t="s">
        <v>527</v>
      </c>
      <c r="D77" s="329"/>
      <c r="E77" s="329"/>
      <c r="F77" s="93"/>
      <c r="G77" s="94">
        <f t="shared" si="12"/>
        <v>0</v>
      </c>
      <c r="H77" s="95">
        <f t="shared" si="13"/>
        <v>0</v>
      </c>
      <c r="I77" s="272"/>
      <c r="J77" s="11"/>
      <c r="K77" s="11"/>
      <c r="L77" s="11"/>
      <c r="M77" s="11"/>
      <c r="N77" s="11"/>
      <c r="O77" s="11"/>
      <c r="P77" s="52"/>
    </row>
    <row r="78" spans="2:16" x14ac:dyDescent="0.25">
      <c r="B78" s="11"/>
      <c r="C78" s="332" t="s">
        <v>528</v>
      </c>
      <c r="D78" s="332"/>
      <c r="E78" s="332"/>
      <c r="F78" s="93"/>
      <c r="G78" s="94">
        <f t="shared" si="12"/>
        <v>0</v>
      </c>
      <c r="H78" s="95">
        <f t="shared" si="13"/>
        <v>0</v>
      </c>
      <c r="I78" s="272"/>
      <c r="J78" s="11"/>
      <c r="K78" s="11"/>
      <c r="L78" s="11"/>
      <c r="M78" s="11"/>
      <c r="N78" s="11"/>
      <c r="O78" s="11"/>
      <c r="P78" s="52"/>
    </row>
    <row r="79" spans="2:16" x14ac:dyDescent="0.25">
      <c r="B79" s="11"/>
      <c r="C79" s="329" t="s">
        <v>529</v>
      </c>
      <c r="D79" s="329"/>
      <c r="E79" s="329"/>
      <c r="F79" s="93"/>
      <c r="G79" s="94">
        <f t="shared" si="12"/>
        <v>0</v>
      </c>
      <c r="H79" s="95">
        <f t="shared" si="13"/>
        <v>0</v>
      </c>
      <c r="I79" s="272"/>
      <c r="J79" s="11"/>
      <c r="K79" s="11"/>
      <c r="L79" s="11"/>
      <c r="M79" s="11"/>
      <c r="N79" s="11"/>
      <c r="O79" s="11"/>
      <c r="P79" s="52"/>
    </row>
    <row r="80" spans="2:16" x14ac:dyDescent="0.25">
      <c r="B80" s="11"/>
      <c r="C80" s="329" t="s">
        <v>530</v>
      </c>
      <c r="D80" s="329"/>
      <c r="E80" s="329"/>
      <c r="F80" s="93"/>
      <c r="G80" s="94">
        <f t="shared" si="12"/>
        <v>0</v>
      </c>
      <c r="H80" s="95">
        <f t="shared" si="13"/>
        <v>0</v>
      </c>
      <c r="I80" s="272"/>
      <c r="J80" s="11"/>
      <c r="K80" s="11"/>
      <c r="L80" s="11"/>
      <c r="M80" s="11"/>
      <c r="N80" s="11"/>
      <c r="O80" s="11"/>
      <c r="P80" s="52"/>
    </row>
    <row r="81" spans="2:16" x14ac:dyDescent="0.25">
      <c r="B81" s="11"/>
      <c r="C81" s="329" t="s">
        <v>531</v>
      </c>
      <c r="D81" s="329"/>
      <c r="E81" s="329"/>
      <c r="F81" s="93"/>
      <c r="G81" s="94">
        <f t="shared" si="12"/>
        <v>0</v>
      </c>
      <c r="H81" s="95">
        <f t="shared" si="13"/>
        <v>0</v>
      </c>
      <c r="I81" s="272"/>
      <c r="J81" s="11"/>
      <c r="K81" s="11"/>
      <c r="L81" s="11"/>
      <c r="M81" s="11"/>
      <c r="N81" s="11"/>
      <c r="O81" s="11"/>
      <c r="P81" s="52"/>
    </row>
    <row r="82" spans="2:16" x14ac:dyDescent="0.25">
      <c r="B82" s="11"/>
      <c r="C82" s="329" t="s">
        <v>532</v>
      </c>
      <c r="D82" s="329"/>
      <c r="E82" s="329"/>
      <c r="F82" s="93"/>
      <c r="G82" s="94">
        <f t="shared" si="12"/>
        <v>0</v>
      </c>
      <c r="H82" s="95">
        <f t="shared" si="13"/>
        <v>0</v>
      </c>
      <c r="I82" s="272"/>
      <c r="J82" s="11"/>
      <c r="K82" s="11"/>
      <c r="L82" s="11"/>
      <c r="M82" s="11"/>
      <c r="N82" s="11"/>
      <c r="O82" s="11"/>
      <c r="P82" s="52"/>
    </row>
    <row r="83" spans="2:16" x14ac:dyDescent="0.25">
      <c r="B83" s="11"/>
      <c r="C83" s="329" t="s">
        <v>533</v>
      </c>
      <c r="D83" s="329"/>
      <c r="E83" s="329"/>
      <c r="F83" s="93"/>
      <c r="G83" s="94">
        <f t="shared" si="12"/>
        <v>0</v>
      </c>
      <c r="H83" s="95">
        <f t="shared" si="13"/>
        <v>0</v>
      </c>
      <c r="I83" s="272"/>
      <c r="J83" s="11"/>
      <c r="K83" s="11"/>
      <c r="L83" s="11"/>
      <c r="M83" s="11"/>
      <c r="N83" s="11"/>
      <c r="O83" s="11"/>
      <c r="P83" s="52"/>
    </row>
    <row r="84" spans="2:16" x14ac:dyDescent="0.25">
      <c r="B84" s="11"/>
      <c r="C84" s="329" t="s">
        <v>534</v>
      </c>
      <c r="D84" s="329"/>
      <c r="E84" s="329"/>
      <c r="F84" s="93"/>
      <c r="G84" s="94">
        <f t="shared" si="12"/>
        <v>0</v>
      </c>
      <c r="H84" s="95">
        <f t="shared" si="13"/>
        <v>0</v>
      </c>
      <c r="I84" s="272"/>
      <c r="J84" s="11"/>
      <c r="K84" s="11"/>
      <c r="L84" s="11"/>
      <c r="M84" s="11"/>
      <c r="N84" s="11"/>
      <c r="O84" s="11"/>
      <c r="P84" s="52"/>
    </row>
    <row r="85" spans="2:16" x14ac:dyDescent="0.25">
      <c r="B85" s="11"/>
      <c r="C85" s="329" t="s">
        <v>535</v>
      </c>
      <c r="D85" s="329"/>
      <c r="E85" s="329"/>
      <c r="F85" s="93"/>
      <c r="G85" s="94">
        <f t="shared" si="12"/>
        <v>0</v>
      </c>
      <c r="H85" s="95">
        <f t="shared" si="13"/>
        <v>0</v>
      </c>
      <c r="I85" s="272"/>
      <c r="J85" s="11"/>
      <c r="K85" s="11"/>
      <c r="L85" s="11"/>
      <c r="M85" s="11"/>
      <c r="N85" s="11"/>
      <c r="O85" s="11"/>
      <c r="P85" s="52"/>
    </row>
    <row r="86" spans="2:16" x14ac:dyDescent="0.25">
      <c r="B86" s="11"/>
      <c r="C86" s="329" t="s">
        <v>536</v>
      </c>
      <c r="D86" s="329"/>
      <c r="E86" s="329"/>
      <c r="F86" s="93"/>
      <c r="G86" s="94">
        <f t="shared" si="12"/>
        <v>0</v>
      </c>
      <c r="H86" s="95">
        <f t="shared" si="13"/>
        <v>0</v>
      </c>
      <c r="I86" s="272"/>
      <c r="J86" s="11"/>
      <c r="K86" s="11"/>
      <c r="L86" s="11"/>
      <c r="M86" s="11"/>
      <c r="N86" s="11"/>
      <c r="O86" s="11"/>
      <c r="P86" s="52"/>
    </row>
    <row r="87" spans="2:16" x14ac:dyDescent="0.25">
      <c r="B87" s="11"/>
      <c r="C87" s="329" t="s">
        <v>537</v>
      </c>
      <c r="D87" s="329"/>
      <c r="E87" s="329"/>
      <c r="F87" s="93"/>
      <c r="G87" s="94">
        <f t="shared" si="12"/>
        <v>0</v>
      </c>
      <c r="H87" s="95">
        <f t="shared" si="13"/>
        <v>0</v>
      </c>
      <c r="I87" s="272"/>
      <c r="J87" s="11"/>
      <c r="K87" s="11"/>
      <c r="L87" s="11"/>
      <c r="M87" s="11"/>
      <c r="N87" s="11"/>
      <c r="O87" s="11"/>
      <c r="P87" s="52"/>
    </row>
    <row r="88" spans="2:16" x14ac:dyDescent="0.25">
      <c r="B88" s="11"/>
      <c r="C88" s="329" t="s">
        <v>538</v>
      </c>
      <c r="D88" s="329"/>
      <c r="E88" s="329"/>
      <c r="F88" s="93"/>
      <c r="G88" s="94">
        <f t="shared" si="12"/>
        <v>0</v>
      </c>
      <c r="H88" s="95">
        <f t="shared" si="13"/>
        <v>0</v>
      </c>
      <c r="I88" s="272"/>
      <c r="J88" s="11"/>
      <c r="K88" s="11"/>
      <c r="L88" s="11"/>
      <c r="M88" s="11"/>
      <c r="N88" s="11"/>
      <c r="O88" s="11"/>
      <c r="P88" s="52"/>
    </row>
    <row r="89" spans="2:16" x14ac:dyDescent="0.25">
      <c r="B89" s="11"/>
      <c r="C89" s="329" t="s">
        <v>539</v>
      </c>
      <c r="D89" s="329"/>
      <c r="E89" s="329"/>
      <c r="F89" s="93"/>
      <c r="G89" s="94">
        <f t="shared" si="12"/>
        <v>0</v>
      </c>
      <c r="H89" s="95">
        <f t="shared" si="13"/>
        <v>0</v>
      </c>
      <c r="I89" s="272"/>
      <c r="J89" s="11"/>
      <c r="K89" s="11"/>
      <c r="L89" s="11"/>
      <c r="M89" s="11"/>
      <c r="N89" s="11"/>
      <c r="O89" s="11"/>
      <c r="P89" s="52"/>
    </row>
    <row r="90" spans="2:16" x14ac:dyDescent="0.25">
      <c r="B90" s="11"/>
      <c r="C90" s="329" t="s">
        <v>540</v>
      </c>
      <c r="D90" s="329"/>
      <c r="E90" s="329"/>
      <c r="F90" s="93"/>
      <c r="G90" s="94">
        <f t="shared" si="12"/>
        <v>0</v>
      </c>
      <c r="H90" s="95">
        <f t="shared" si="13"/>
        <v>0</v>
      </c>
      <c r="I90" s="272"/>
      <c r="J90" s="11"/>
      <c r="K90" s="11"/>
      <c r="L90" s="11"/>
      <c r="M90" s="11"/>
      <c r="N90" s="11"/>
      <c r="O90" s="11"/>
      <c r="P90" s="52"/>
    </row>
    <row r="91" spans="2:16" x14ac:dyDescent="0.25">
      <c r="B91" s="11"/>
      <c r="C91" s="329" t="s">
        <v>541</v>
      </c>
      <c r="D91" s="329"/>
      <c r="E91" s="329"/>
      <c r="F91" s="93"/>
      <c r="G91" s="94">
        <f t="shared" si="12"/>
        <v>0</v>
      </c>
      <c r="H91" s="95">
        <f t="shared" si="13"/>
        <v>0</v>
      </c>
      <c r="I91" s="272"/>
      <c r="J91" s="11"/>
      <c r="K91" s="11"/>
      <c r="L91" s="11"/>
      <c r="M91" s="11"/>
      <c r="N91" s="11"/>
      <c r="O91" s="11"/>
      <c r="P91" s="52"/>
    </row>
    <row r="92" spans="2:16" x14ac:dyDescent="0.25">
      <c r="B92" s="11"/>
      <c r="C92" s="329" t="s">
        <v>542</v>
      </c>
      <c r="D92" s="329"/>
      <c r="E92" s="329"/>
      <c r="F92" s="93"/>
      <c r="G92" s="94">
        <f t="shared" si="12"/>
        <v>0</v>
      </c>
      <c r="H92" s="95">
        <f t="shared" si="13"/>
        <v>0</v>
      </c>
      <c r="I92" s="272"/>
      <c r="J92" s="11"/>
      <c r="K92" s="11"/>
      <c r="L92" s="11"/>
      <c r="M92" s="11"/>
      <c r="N92" s="11"/>
      <c r="O92" s="11"/>
      <c r="P92" s="52"/>
    </row>
    <row r="93" spans="2:16" x14ac:dyDescent="0.25">
      <c r="B93" s="11"/>
      <c r="C93" s="329" t="s">
        <v>638</v>
      </c>
      <c r="D93" s="329"/>
      <c r="E93" s="329"/>
      <c r="F93" s="93"/>
      <c r="G93" s="94">
        <f t="shared" si="12"/>
        <v>0</v>
      </c>
      <c r="H93" s="95">
        <f t="shared" si="13"/>
        <v>0</v>
      </c>
      <c r="I93" s="272"/>
      <c r="J93" s="11"/>
      <c r="K93" s="11"/>
      <c r="L93" s="11"/>
      <c r="M93" s="11"/>
      <c r="N93" s="11"/>
      <c r="O93" s="11"/>
      <c r="P93" s="52"/>
    </row>
    <row r="94" spans="2:16" x14ac:dyDescent="0.25">
      <c r="B94" s="11"/>
      <c r="C94" s="329" t="s">
        <v>559</v>
      </c>
      <c r="D94" s="329"/>
      <c r="E94" s="329"/>
      <c r="F94" s="93"/>
      <c r="G94" s="94">
        <f t="shared" si="12"/>
        <v>0</v>
      </c>
      <c r="H94" s="95">
        <f t="shared" si="13"/>
        <v>0</v>
      </c>
      <c r="I94" s="272"/>
      <c r="J94" s="11"/>
      <c r="K94" s="11"/>
      <c r="L94" s="11"/>
      <c r="M94" s="11"/>
      <c r="N94" s="11"/>
      <c r="O94" s="11"/>
      <c r="P94" s="52"/>
    </row>
    <row r="95" spans="2:16" x14ac:dyDescent="0.25">
      <c r="B95" s="11"/>
      <c r="C95" s="330" t="s">
        <v>567</v>
      </c>
      <c r="D95" s="330"/>
      <c r="E95" s="330"/>
      <c r="F95" s="96">
        <f>SUM(F74:F94)</f>
        <v>0</v>
      </c>
      <c r="G95" s="96">
        <f t="shared" si="12"/>
        <v>0</v>
      </c>
      <c r="H95" s="97">
        <f t="shared" si="13"/>
        <v>0</v>
      </c>
      <c r="I95" s="274"/>
      <c r="J95" s="11"/>
      <c r="K95" s="11"/>
      <c r="L95" s="11"/>
      <c r="M95" s="11"/>
      <c r="N95" s="11"/>
      <c r="O95" s="11"/>
      <c r="P95" s="52"/>
    </row>
    <row r="96" spans="2:16" x14ac:dyDescent="0.25">
      <c r="B96" s="11"/>
      <c r="C96" s="12"/>
      <c r="D96" s="11"/>
      <c r="E96" s="11"/>
      <c r="F96" s="98"/>
      <c r="G96" s="98"/>
      <c r="H96" s="99"/>
      <c r="I96" s="272"/>
      <c r="J96" s="11"/>
      <c r="K96" s="11"/>
      <c r="L96" s="11"/>
      <c r="M96" s="11"/>
      <c r="N96" s="11"/>
      <c r="O96" s="11"/>
      <c r="P96" s="52"/>
    </row>
    <row r="97" spans="2:16" x14ac:dyDescent="0.25">
      <c r="B97" s="11"/>
      <c r="C97" s="326" t="s">
        <v>557</v>
      </c>
      <c r="D97" s="326"/>
      <c r="E97" s="326"/>
      <c r="F97" s="98"/>
      <c r="G97" s="98"/>
      <c r="H97" s="99"/>
      <c r="I97" s="272"/>
      <c r="J97" s="11"/>
      <c r="K97" s="11"/>
      <c r="L97" s="11"/>
      <c r="M97" s="11"/>
      <c r="N97" s="11"/>
      <c r="O97" s="11"/>
      <c r="P97" s="52"/>
    </row>
    <row r="98" spans="2:16" x14ac:dyDescent="0.25">
      <c r="B98" s="11"/>
      <c r="C98" s="333" t="s">
        <v>543</v>
      </c>
      <c r="D98" s="333"/>
      <c r="E98" s="333"/>
      <c r="F98" s="100">
        <f>(E99*E100*F19)/100</f>
        <v>65976.960000000006</v>
      </c>
      <c r="G98" s="94">
        <f>IFERROR(F98/$F$19,)</f>
        <v>392.72</v>
      </c>
      <c r="H98" s="95">
        <f>IFERROR(F98/$J$22,)</f>
        <v>0</v>
      </c>
      <c r="I98" s="272"/>
      <c r="J98" s="11"/>
      <c r="K98" s="11"/>
      <c r="L98" s="11"/>
      <c r="M98" s="11"/>
      <c r="N98" s="11"/>
      <c r="O98" s="11"/>
      <c r="P98" s="52"/>
    </row>
    <row r="99" spans="2:16" outlineLevel="1" x14ac:dyDescent="0.25">
      <c r="B99" s="11"/>
      <c r="C99" s="239" t="s">
        <v>653</v>
      </c>
      <c r="D99" s="20"/>
      <c r="E99" s="101">
        <v>40000</v>
      </c>
      <c r="F99" s="61"/>
      <c r="G99" s="98"/>
      <c r="H99" s="99"/>
      <c r="I99" s="272"/>
      <c r="J99" s="11"/>
      <c r="K99" s="11"/>
      <c r="L99" s="11"/>
      <c r="M99" s="11"/>
      <c r="N99" s="11"/>
      <c r="O99" s="11"/>
      <c r="P99" s="52"/>
    </row>
    <row r="100" spans="2:16" outlineLevel="1" x14ac:dyDescent="0.25">
      <c r="B100" s="11"/>
      <c r="C100" s="239" t="s">
        <v>652</v>
      </c>
      <c r="D100" s="20"/>
      <c r="E100" s="102">
        <f>0.578+0.4038</f>
        <v>0.98180000000000001</v>
      </c>
      <c r="F100" s="61"/>
      <c r="G100" s="98"/>
      <c r="H100" s="99"/>
      <c r="I100" s="272"/>
      <c r="J100" s="11"/>
      <c r="K100" s="11"/>
      <c r="L100" s="11"/>
      <c r="M100" s="11"/>
      <c r="N100" s="11"/>
      <c r="O100" s="11"/>
      <c r="P100" s="52"/>
    </row>
    <row r="101" spans="2:16" x14ac:dyDescent="0.25">
      <c r="B101" s="11"/>
      <c r="C101" s="333" t="s">
        <v>544</v>
      </c>
      <c r="D101" s="333"/>
      <c r="E101" s="333"/>
      <c r="F101" s="93"/>
      <c r="G101" s="94">
        <f>IFERROR(F101/$F$19,)</f>
        <v>0</v>
      </c>
      <c r="H101" s="95">
        <f>IFERROR(F101/$J$22,)</f>
        <v>0</v>
      </c>
      <c r="I101" s="275"/>
      <c r="J101" s="11"/>
      <c r="K101" s="11"/>
      <c r="L101" s="11"/>
      <c r="M101" s="11"/>
      <c r="N101" s="11"/>
      <c r="O101" s="11"/>
      <c r="P101" s="52"/>
    </row>
    <row r="102" spans="2:16" x14ac:dyDescent="0.25">
      <c r="B102" s="11"/>
      <c r="C102" s="333" t="s">
        <v>545</v>
      </c>
      <c r="D102" s="333"/>
      <c r="E102" s="333"/>
      <c r="F102" s="93">
        <v>0</v>
      </c>
      <c r="G102" s="94">
        <f t="shared" ref="G102:G108" si="14">IFERROR(F102/$F$19,)</f>
        <v>0</v>
      </c>
      <c r="H102" s="95">
        <f t="shared" ref="H102:H108" si="15">IFERROR(F102/$J$22,)</f>
        <v>0</v>
      </c>
      <c r="I102" s="272"/>
      <c r="J102" s="11"/>
      <c r="K102" s="11"/>
      <c r="L102" s="11"/>
      <c r="M102" s="11"/>
      <c r="N102" s="11"/>
      <c r="O102" s="11"/>
      <c r="P102" s="52"/>
    </row>
    <row r="103" spans="2:16" x14ac:dyDescent="0.25">
      <c r="B103" s="11"/>
      <c r="C103" s="333" t="s">
        <v>546</v>
      </c>
      <c r="D103" s="333"/>
      <c r="E103" s="333"/>
      <c r="F103" s="254"/>
      <c r="G103" s="94">
        <f t="shared" si="14"/>
        <v>0</v>
      </c>
      <c r="H103" s="95">
        <f t="shared" si="15"/>
        <v>0</v>
      </c>
      <c r="I103" s="273"/>
      <c r="J103" s="11"/>
      <c r="K103" s="11"/>
      <c r="L103" s="11"/>
      <c r="M103" s="11"/>
      <c r="N103" s="11"/>
      <c r="O103" s="11"/>
      <c r="P103" s="52"/>
    </row>
    <row r="104" spans="2:16" x14ac:dyDescent="0.25">
      <c r="B104" s="11"/>
      <c r="C104" s="329" t="s">
        <v>547</v>
      </c>
      <c r="D104" s="329"/>
      <c r="E104" s="329"/>
      <c r="F104" s="93"/>
      <c r="G104" s="94">
        <f t="shared" si="14"/>
        <v>0</v>
      </c>
      <c r="H104" s="95">
        <f t="shared" si="15"/>
        <v>0</v>
      </c>
      <c r="I104" s="272"/>
      <c r="J104" s="11"/>
      <c r="K104" s="11"/>
      <c r="L104" s="11"/>
      <c r="M104" s="11"/>
      <c r="N104" s="11"/>
      <c r="O104" s="11"/>
      <c r="P104" s="52"/>
    </row>
    <row r="105" spans="2:16" x14ac:dyDescent="0.25">
      <c r="B105" s="11"/>
      <c r="C105" s="329" t="s">
        <v>548</v>
      </c>
      <c r="D105" s="329"/>
      <c r="E105" s="329"/>
      <c r="F105" s="93"/>
      <c r="G105" s="94">
        <f t="shared" si="14"/>
        <v>0</v>
      </c>
      <c r="H105" s="95">
        <f t="shared" si="15"/>
        <v>0</v>
      </c>
      <c r="I105" s="272"/>
      <c r="J105" s="11"/>
      <c r="K105" s="11"/>
      <c r="L105" s="11"/>
      <c r="M105" s="11"/>
      <c r="N105" s="11"/>
      <c r="O105" s="11"/>
      <c r="P105" s="52"/>
    </row>
    <row r="106" spans="2:16" x14ac:dyDescent="0.25">
      <c r="B106" s="11"/>
      <c r="C106" s="329" t="s">
        <v>549</v>
      </c>
      <c r="D106" s="329"/>
      <c r="E106" s="329"/>
      <c r="F106" s="93"/>
      <c r="G106" s="94">
        <f t="shared" si="14"/>
        <v>0</v>
      </c>
      <c r="H106" s="95">
        <f t="shared" si="15"/>
        <v>0</v>
      </c>
      <c r="I106" s="272"/>
      <c r="J106" s="11"/>
      <c r="K106" s="11"/>
      <c r="L106" s="11"/>
      <c r="M106" s="11"/>
      <c r="N106" s="11"/>
      <c r="O106" s="11"/>
      <c r="P106" s="52"/>
    </row>
    <row r="107" spans="2:16" x14ac:dyDescent="0.25">
      <c r="B107" s="11"/>
      <c r="C107" s="329" t="s">
        <v>639</v>
      </c>
      <c r="D107" s="329"/>
      <c r="E107" s="329"/>
      <c r="F107" s="93"/>
      <c r="G107" s="94">
        <f t="shared" si="14"/>
        <v>0</v>
      </c>
      <c r="H107" s="95">
        <f t="shared" si="15"/>
        <v>0</v>
      </c>
      <c r="I107" s="272"/>
      <c r="J107" s="11"/>
      <c r="K107" s="11"/>
      <c r="L107" s="11"/>
      <c r="M107" s="11"/>
      <c r="N107" s="11"/>
      <c r="O107" s="11"/>
      <c r="P107" s="299"/>
    </row>
    <row r="108" spans="2:16" x14ac:dyDescent="0.25">
      <c r="B108" s="11"/>
      <c r="C108" s="330" t="s">
        <v>567</v>
      </c>
      <c r="D108" s="330"/>
      <c r="E108" s="330"/>
      <c r="F108" s="103">
        <f>SUM(F98:F107)</f>
        <v>65976.960000000006</v>
      </c>
      <c r="G108" s="96">
        <f t="shared" si="14"/>
        <v>392.72</v>
      </c>
      <c r="H108" s="97">
        <f t="shared" si="15"/>
        <v>0</v>
      </c>
      <c r="I108" s="276"/>
      <c r="J108" s="11"/>
      <c r="K108" s="11"/>
      <c r="L108" s="11"/>
      <c r="M108" s="11"/>
      <c r="N108" s="11"/>
      <c r="O108" s="11"/>
      <c r="P108" s="299"/>
    </row>
    <row r="109" spans="2:16" x14ac:dyDescent="0.25">
      <c r="B109" s="11"/>
      <c r="C109" s="12"/>
      <c r="D109" s="11"/>
      <c r="E109" s="11"/>
      <c r="F109" s="98"/>
      <c r="G109" s="98"/>
      <c r="H109" s="99"/>
      <c r="I109" s="272"/>
      <c r="J109" s="11"/>
      <c r="K109" s="11"/>
      <c r="L109" s="11"/>
      <c r="M109" s="11"/>
      <c r="N109" s="11"/>
      <c r="O109" s="11"/>
      <c r="P109" s="299"/>
    </row>
    <row r="110" spans="2:16" ht="33" customHeight="1" x14ac:dyDescent="0.25">
      <c r="B110" s="11"/>
      <c r="C110" s="334" t="s">
        <v>564</v>
      </c>
      <c r="D110" s="334"/>
      <c r="E110" s="334"/>
      <c r="F110" s="104">
        <v>650000</v>
      </c>
      <c r="G110" s="104">
        <f>IFERROR(F110/$F$19,)</f>
        <v>3869.0476190476193</v>
      </c>
      <c r="H110" s="105">
        <f>IFERROR(F110/$J$22,)</f>
        <v>0</v>
      </c>
      <c r="I110" s="274"/>
      <c r="J110" s="244"/>
      <c r="K110" s="11"/>
      <c r="L110" s="11"/>
      <c r="M110" s="11"/>
      <c r="N110" s="11"/>
      <c r="O110" s="11"/>
      <c r="P110" s="299"/>
    </row>
    <row r="111" spans="2:16" x14ac:dyDescent="0.25">
      <c r="B111" s="11"/>
      <c r="C111" s="12"/>
      <c r="D111" s="11"/>
      <c r="E111" s="11"/>
      <c r="F111" s="98"/>
      <c r="G111" s="94"/>
      <c r="H111" s="95"/>
      <c r="I111" s="272"/>
      <c r="J111" s="11"/>
      <c r="K111" s="11"/>
      <c r="L111" s="11"/>
      <c r="M111" s="11"/>
      <c r="N111" s="11"/>
      <c r="O111" s="11"/>
      <c r="P111" s="299"/>
    </row>
    <row r="112" spans="2:16" x14ac:dyDescent="0.25">
      <c r="B112" s="11"/>
      <c r="C112" s="326" t="s">
        <v>550</v>
      </c>
      <c r="D112" s="326"/>
      <c r="E112" s="326"/>
      <c r="F112" s="98"/>
      <c r="G112" s="94"/>
      <c r="H112" s="95"/>
      <c r="I112" s="272"/>
      <c r="J112" s="11"/>
      <c r="K112" s="11"/>
      <c r="L112" s="11"/>
      <c r="M112" s="11"/>
      <c r="N112" s="11"/>
      <c r="O112" s="11"/>
      <c r="P112" s="299"/>
    </row>
    <row r="113" spans="2:16" x14ac:dyDescent="0.25">
      <c r="B113" s="11"/>
      <c r="C113" s="335" t="s">
        <v>551</v>
      </c>
      <c r="D113" s="335"/>
      <c r="E113" s="335"/>
      <c r="F113" s="93">
        <v>5000</v>
      </c>
      <c r="G113" s="94">
        <f>IFERROR(F113/$F$19,)</f>
        <v>29.761904761904763</v>
      </c>
      <c r="H113" s="95">
        <f>IFERROR(F113/$J$22,)</f>
        <v>0</v>
      </c>
      <c r="I113" s="272"/>
      <c r="J113" s="11"/>
      <c r="K113" s="11"/>
      <c r="L113" s="11"/>
      <c r="M113" s="11"/>
      <c r="N113" s="11"/>
      <c r="O113" s="11"/>
      <c r="P113" s="299"/>
    </row>
    <row r="114" spans="2:16" x14ac:dyDescent="0.25">
      <c r="B114" s="11"/>
      <c r="C114" s="335" t="s">
        <v>552</v>
      </c>
      <c r="D114" s="335"/>
      <c r="E114" s="335"/>
      <c r="F114" s="93"/>
      <c r="G114" s="94">
        <f t="shared" ref="G114:G117" si="16">IFERROR(F114/$F$19,)</f>
        <v>0</v>
      </c>
      <c r="H114" s="95">
        <f t="shared" ref="H114:H117" si="17">IFERROR(F114/$J$22,)</f>
        <v>0</v>
      </c>
      <c r="I114" s="272"/>
      <c r="J114" s="11"/>
      <c r="K114" s="11"/>
      <c r="L114" s="11"/>
      <c r="M114" s="11"/>
      <c r="N114" s="11"/>
      <c r="O114" s="11"/>
      <c r="P114" s="299"/>
    </row>
    <row r="115" spans="2:16" x14ac:dyDescent="0.25">
      <c r="B115" s="11"/>
      <c r="C115" s="335" t="s">
        <v>553</v>
      </c>
      <c r="D115" s="335"/>
      <c r="E115" s="335"/>
      <c r="F115" s="93"/>
      <c r="G115" s="94">
        <f t="shared" si="16"/>
        <v>0</v>
      </c>
      <c r="H115" s="95">
        <f t="shared" si="17"/>
        <v>0</v>
      </c>
      <c r="I115" s="272"/>
      <c r="J115" s="11"/>
      <c r="K115" s="11"/>
      <c r="L115" s="11"/>
      <c r="M115" s="11"/>
      <c r="N115" s="11"/>
      <c r="O115" s="11"/>
      <c r="P115" s="299"/>
    </row>
    <row r="116" spans="2:16" x14ac:dyDescent="0.25">
      <c r="B116" s="11"/>
      <c r="C116" s="335" t="s">
        <v>640</v>
      </c>
      <c r="D116" s="335"/>
      <c r="E116" s="335"/>
      <c r="F116" s="93"/>
      <c r="G116" s="94">
        <f t="shared" si="16"/>
        <v>0</v>
      </c>
      <c r="H116" s="95">
        <f t="shared" si="17"/>
        <v>0</v>
      </c>
      <c r="I116" s="272"/>
      <c r="J116" s="11"/>
      <c r="K116" s="11"/>
      <c r="L116" s="11"/>
      <c r="M116" s="11"/>
      <c r="N116" s="11"/>
      <c r="O116" s="11"/>
      <c r="P116" s="299"/>
    </row>
    <row r="117" spans="2:16" x14ac:dyDescent="0.25">
      <c r="B117" s="11"/>
      <c r="C117" s="330" t="s">
        <v>567</v>
      </c>
      <c r="D117" s="330"/>
      <c r="E117" s="330"/>
      <c r="F117" s="96">
        <f>SUM(F113:F116)</f>
        <v>5000</v>
      </c>
      <c r="G117" s="96">
        <f t="shared" si="16"/>
        <v>29.761904761904763</v>
      </c>
      <c r="H117" s="97">
        <f t="shared" si="17"/>
        <v>0</v>
      </c>
      <c r="I117" s="272"/>
      <c r="J117" s="11"/>
      <c r="K117" s="11"/>
      <c r="L117" s="11"/>
      <c r="M117" s="11"/>
      <c r="N117" s="11"/>
      <c r="O117" s="11"/>
      <c r="P117" s="299"/>
    </row>
    <row r="118" spans="2:16" x14ac:dyDescent="0.25">
      <c r="B118" s="11"/>
      <c r="C118" s="14"/>
      <c r="D118" s="238"/>
      <c r="E118" s="238"/>
      <c r="F118" s="98"/>
      <c r="G118" s="98"/>
      <c r="H118" s="99"/>
      <c r="I118" s="272"/>
      <c r="J118" s="11"/>
      <c r="K118" s="11"/>
      <c r="L118" s="11"/>
      <c r="M118" s="11"/>
      <c r="N118" s="11"/>
      <c r="O118" s="11"/>
      <c r="P118" s="299"/>
    </row>
    <row r="119" spans="2:16" x14ac:dyDescent="0.25">
      <c r="B119" s="11"/>
      <c r="C119" s="326" t="s">
        <v>554</v>
      </c>
      <c r="D119" s="326"/>
      <c r="E119" s="326"/>
      <c r="F119" s="98"/>
      <c r="G119" s="98"/>
      <c r="H119" s="99"/>
      <c r="I119" s="272"/>
      <c r="J119" s="11"/>
      <c r="K119" s="11"/>
      <c r="L119" s="11"/>
      <c r="M119" s="11"/>
      <c r="N119" s="11"/>
      <c r="O119" s="11"/>
      <c r="P119" s="299"/>
    </row>
    <row r="120" spans="2:16" x14ac:dyDescent="0.25">
      <c r="B120" s="11"/>
      <c r="C120" s="314" t="s">
        <v>558</v>
      </c>
      <c r="D120" s="314"/>
      <c r="E120" s="314"/>
      <c r="F120" s="96">
        <f>250*F19</f>
        <v>42000</v>
      </c>
      <c r="G120" s="96">
        <f t="shared" ref="G120" si="18">IFERROR(F120/$F$19,)</f>
        <v>250</v>
      </c>
      <c r="H120" s="97">
        <f>IFERROR(F120/$J$22,)</f>
        <v>0</v>
      </c>
      <c r="I120" s="272"/>
      <c r="J120" s="11"/>
      <c r="K120" s="11"/>
      <c r="L120" s="11"/>
      <c r="M120" s="11"/>
      <c r="N120" s="11"/>
      <c r="O120" s="11"/>
      <c r="P120" s="299"/>
    </row>
    <row r="121" spans="2:16" x14ac:dyDescent="0.25">
      <c r="B121" s="11"/>
      <c r="C121" s="14"/>
      <c r="D121" s="238"/>
      <c r="E121" s="238"/>
      <c r="F121" s="98"/>
      <c r="G121" s="94"/>
      <c r="H121" s="95"/>
      <c r="I121" s="272"/>
      <c r="J121" s="11"/>
      <c r="K121" s="11"/>
      <c r="L121" s="11"/>
      <c r="M121" s="11"/>
      <c r="N121" s="11"/>
      <c r="O121" s="11"/>
      <c r="P121" s="299"/>
    </row>
    <row r="122" spans="2:16" x14ac:dyDescent="0.25">
      <c r="B122" s="11"/>
      <c r="C122" s="328" t="s">
        <v>555</v>
      </c>
      <c r="D122" s="328"/>
      <c r="E122" s="328"/>
      <c r="F122" s="104">
        <f>F110+F117+F120</f>
        <v>697000</v>
      </c>
      <c r="G122" s="104">
        <f>IFERROR(F122/$F$19,)</f>
        <v>4148.8095238095239</v>
      </c>
      <c r="H122" s="105">
        <f>IFERROR(F122/$J$22,)</f>
        <v>0</v>
      </c>
      <c r="I122" s="274"/>
      <c r="J122" s="11"/>
      <c r="K122" s="11"/>
      <c r="L122" s="11"/>
      <c r="M122" s="11"/>
      <c r="N122" s="11"/>
      <c r="O122" s="11"/>
      <c r="P122" s="299"/>
    </row>
    <row r="123" spans="2:16" x14ac:dyDescent="0.25">
      <c r="B123" s="11"/>
      <c r="C123" s="11"/>
      <c r="D123" s="11"/>
      <c r="E123" s="11"/>
      <c r="F123" s="98"/>
      <c r="G123" s="94"/>
      <c r="H123" s="95"/>
      <c r="I123" s="272"/>
      <c r="J123" s="11"/>
      <c r="K123" s="11"/>
      <c r="L123" s="11"/>
      <c r="M123" s="11"/>
      <c r="N123" s="11"/>
      <c r="O123" s="11"/>
      <c r="P123" s="299"/>
    </row>
    <row r="124" spans="2:16" x14ac:dyDescent="0.25">
      <c r="B124" s="11"/>
      <c r="C124" s="334" t="s">
        <v>562</v>
      </c>
      <c r="D124" s="334"/>
      <c r="E124" s="334"/>
      <c r="F124" s="104">
        <f>F122-F98-F117-F120</f>
        <v>584023.04000000004</v>
      </c>
      <c r="G124" s="104">
        <f>IFERROR(F124/$F$19,)</f>
        <v>3476.3276190476195</v>
      </c>
      <c r="H124" s="105">
        <f>IFERROR(F124/$J$22,)</f>
        <v>0</v>
      </c>
      <c r="I124" s="274"/>
      <c r="J124" s="11"/>
      <c r="K124" s="11"/>
      <c r="L124" s="11"/>
      <c r="M124" s="11"/>
      <c r="N124" s="11"/>
      <c r="O124" s="11"/>
      <c r="P124" s="299"/>
    </row>
    <row r="125" spans="2:16" x14ac:dyDescent="0.25">
      <c r="B125" s="11"/>
      <c r="C125" s="314" t="s">
        <v>563</v>
      </c>
      <c r="D125" s="314"/>
      <c r="E125" s="314"/>
      <c r="F125" s="98"/>
      <c r="G125" s="106"/>
      <c r="H125" s="107"/>
      <c r="I125" s="79"/>
      <c r="J125" s="11"/>
      <c r="K125" s="11"/>
      <c r="L125" s="11"/>
      <c r="M125" s="11"/>
      <c r="N125" s="11"/>
      <c r="O125" s="11"/>
      <c r="P125" s="187"/>
    </row>
    <row r="126" spans="2:16" x14ac:dyDescent="0.25">
      <c r="B126" s="11"/>
      <c r="C126" s="11"/>
      <c r="D126" s="11"/>
      <c r="E126" s="11"/>
      <c r="F126" s="35"/>
      <c r="G126" s="35"/>
      <c r="H126" s="35"/>
      <c r="I126" s="187"/>
      <c r="J126" s="11"/>
      <c r="K126" s="11"/>
      <c r="L126" s="11"/>
      <c r="M126" s="11"/>
      <c r="N126" s="11"/>
      <c r="O126" s="11"/>
      <c r="P126" s="187"/>
    </row>
    <row r="127" spans="2:16" x14ac:dyDescent="0.25">
      <c r="I127" s="275"/>
      <c r="P127" s="275"/>
    </row>
    <row r="128" spans="2:16" x14ac:dyDescent="0.25">
      <c r="I128" s="275"/>
      <c r="P128" s="275"/>
    </row>
    <row r="129" spans="16:16" x14ac:dyDescent="0.25">
      <c r="P129" s="275"/>
    </row>
    <row r="130" spans="16:16" x14ac:dyDescent="0.25">
      <c r="P130" s="275"/>
    </row>
    <row r="131" spans="16:16" x14ac:dyDescent="0.25">
      <c r="P131" s="275"/>
    </row>
    <row r="132" spans="16:16" x14ac:dyDescent="0.25">
      <c r="P132" s="275"/>
    </row>
    <row r="133" spans="16:16" x14ac:dyDescent="0.25">
      <c r="P133" s="275"/>
    </row>
  </sheetData>
  <mergeCells count="69">
    <mergeCell ref="C114:E114"/>
    <mergeCell ref="C115:E115"/>
    <mergeCell ref="C122:E122"/>
    <mergeCell ref="C124:E124"/>
    <mergeCell ref="C125:E125"/>
    <mergeCell ref="C116:E116"/>
    <mergeCell ref="C117:E117"/>
    <mergeCell ref="C119:E119"/>
    <mergeCell ref="C120:E120"/>
    <mergeCell ref="C107:E107"/>
    <mergeCell ref="C108:E108"/>
    <mergeCell ref="C110:E110"/>
    <mergeCell ref="C112:E112"/>
    <mergeCell ref="C113:E113"/>
    <mergeCell ref="C102:E102"/>
    <mergeCell ref="C103:E103"/>
    <mergeCell ref="C104:E104"/>
    <mergeCell ref="C105:E105"/>
    <mergeCell ref="C106:E106"/>
    <mergeCell ref="C94:E94"/>
    <mergeCell ref="C95:E95"/>
    <mergeCell ref="C97:E97"/>
    <mergeCell ref="C98:E98"/>
    <mergeCell ref="C101:E101"/>
    <mergeCell ref="C89:E89"/>
    <mergeCell ref="C90:E90"/>
    <mergeCell ref="C91:E91"/>
    <mergeCell ref="C92:E92"/>
    <mergeCell ref="C93:E93"/>
    <mergeCell ref="C84:E84"/>
    <mergeCell ref="C85:E85"/>
    <mergeCell ref="C86:E86"/>
    <mergeCell ref="C87:E87"/>
    <mergeCell ref="C88:E88"/>
    <mergeCell ref="C79:E79"/>
    <mergeCell ref="C80:E80"/>
    <mergeCell ref="C81:E81"/>
    <mergeCell ref="C82:E82"/>
    <mergeCell ref="C83:E83"/>
    <mergeCell ref="C74:E74"/>
    <mergeCell ref="C75:E75"/>
    <mergeCell ref="C76:E76"/>
    <mergeCell ref="C77:E77"/>
    <mergeCell ref="C78:E78"/>
    <mergeCell ref="C68:E68"/>
    <mergeCell ref="C69:E69"/>
    <mergeCell ref="C70:E70"/>
    <mergeCell ref="C71:E71"/>
    <mergeCell ref="C73:E73"/>
    <mergeCell ref="C62:E62"/>
    <mergeCell ref="C63:E63"/>
    <mergeCell ref="C65:E65"/>
    <mergeCell ref="C66:E66"/>
    <mergeCell ref="C67:E67"/>
    <mergeCell ref="C57:E57"/>
    <mergeCell ref="C58:E58"/>
    <mergeCell ref="C59:E59"/>
    <mergeCell ref="C60:E60"/>
    <mergeCell ref="C61:E61"/>
    <mergeCell ref="C52:E52"/>
    <mergeCell ref="C53:E53"/>
    <mergeCell ref="C54:E54"/>
    <mergeCell ref="C55:E55"/>
    <mergeCell ref="C56:E56"/>
    <mergeCell ref="C41:C44"/>
    <mergeCell ref="E39:J39"/>
    <mergeCell ref="C49:E49"/>
    <mergeCell ref="C50:E50"/>
    <mergeCell ref="C51:E51"/>
  </mergeCells>
  <dataValidations count="2">
    <dataValidation type="list" allowBlank="1" showInputMessage="1" showErrorMessage="1" sqref="D10:D17">
      <formula1>AMIrestriction</formula1>
    </dataValidation>
    <dataValidation type="list" allowBlank="1" showInputMessage="1" showErrorMessage="1" sqref="C10:C17">
      <formula1>BRs</formula1>
    </dataValidation>
  </dataValidations>
  <pageMargins left="0.5" right="0.5" top="0.5" bottom="0.5" header="0.3" footer="0.3"/>
  <pageSetup scale="67" fitToHeight="0" orientation="landscape" r:id="rId1"/>
  <headerFooter scaleWithDoc="0">
    <oddHeader>&amp;R&amp;G</oddHeader>
    <oddFooter>&amp;L&amp;"-,Bold" Confidential&amp;C&amp;D&amp;RPage &amp;P of &amp;N</oddFooter>
  </headerFooter>
  <rowBreaks count="2" manualBreakCount="2">
    <brk id="46" max="16383" man="1"/>
    <brk id="95" min="1" max="13" man="1"/>
  </rowBreaks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50"/>
  <sheetViews>
    <sheetView view="pageBreakPreview" zoomScale="70" zoomScaleNormal="80" zoomScaleSheetLayoutView="70" workbookViewId="0">
      <pane xSplit="4" ySplit="8" topLeftCell="E12" activePane="bottomRight" state="frozen"/>
      <selection pane="topRight" activeCell="D1" sqref="D1"/>
      <selection pane="bottomLeft" activeCell="A5" sqref="A5"/>
      <selection pane="bottomRight" activeCell="E30" sqref="E30"/>
    </sheetView>
  </sheetViews>
  <sheetFormatPr defaultColWidth="8.85546875" defaultRowHeight="15" x14ac:dyDescent="0.25"/>
  <cols>
    <col min="1" max="1" width="4" customWidth="1"/>
    <col min="2" max="2" width="6.85546875" customWidth="1"/>
    <col min="3" max="3" width="21.85546875" bestFit="1" customWidth="1"/>
    <col min="4" max="4" width="20.42578125" customWidth="1"/>
    <col min="5" max="34" width="16.42578125" customWidth="1"/>
    <col min="37" max="37" width="10" bestFit="1" customWidth="1"/>
  </cols>
  <sheetData>
    <row r="2" spans="2:34" ht="18.95" x14ac:dyDescent="0.25">
      <c r="B2" s="195" t="str">
        <f>""&amp;'Project Description'!D7&amp;", "&amp;'Project Description'!D9&amp;", "&amp;'Project Description'!D10</f>
        <v>Washington Terrace_Bond_Family, Raleigh, Wake County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2:34" ht="18.75" x14ac:dyDescent="0.3">
      <c r="B3" s="21"/>
      <c r="C3" s="11"/>
      <c r="D3" s="11"/>
      <c r="E3" s="11"/>
      <c r="F3" s="11"/>
      <c r="G3" s="263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2:34" ht="18.95" x14ac:dyDescent="0.25">
      <c r="B4" s="21" t="s">
        <v>669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2:34" x14ac:dyDescent="0.2">
      <c r="B5" s="22" t="s">
        <v>682</v>
      </c>
      <c r="C5" s="11"/>
      <c r="D5" s="11"/>
      <c r="E5" s="11"/>
      <c r="F5" s="11"/>
      <c r="G5" s="6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2:34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2:34" x14ac:dyDescent="0.2">
      <c r="B7" s="11"/>
      <c r="C7" s="11"/>
      <c r="D7" s="11"/>
      <c r="E7" s="11"/>
      <c r="F7" s="11"/>
      <c r="G7" s="11" t="s">
        <v>707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2:34" x14ac:dyDescent="0.2">
      <c r="B8" s="11"/>
      <c r="C8" s="11"/>
      <c r="D8" s="35" t="s">
        <v>658</v>
      </c>
      <c r="E8" s="183">
        <v>1</v>
      </c>
      <c r="F8" s="184">
        <f>E8+1</f>
        <v>2</v>
      </c>
      <c r="G8" s="184">
        <f t="shared" ref="G8:AH8" si="0">F8+1</f>
        <v>3</v>
      </c>
      <c r="H8" s="184">
        <f t="shared" si="0"/>
        <v>4</v>
      </c>
      <c r="I8" s="184">
        <f t="shared" si="0"/>
        <v>5</v>
      </c>
      <c r="J8" s="184">
        <f t="shared" si="0"/>
        <v>6</v>
      </c>
      <c r="K8" s="184">
        <f t="shared" si="0"/>
        <v>7</v>
      </c>
      <c r="L8" s="184">
        <f t="shared" si="0"/>
        <v>8</v>
      </c>
      <c r="M8" s="184">
        <f t="shared" si="0"/>
        <v>9</v>
      </c>
      <c r="N8" s="184">
        <f t="shared" si="0"/>
        <v>10</v>
      </c>
      <c r="O8" s="184">
        <f t="shared" si="0"/>
        <v>11</v>
      </c>
      <c r="P8" s="184">
        <f t="shared" si="0"/>
        <v>12</v>
      </c>
      <c r="Q8" s="184">
        <f t="shared" si="0"/>
        <v>13</v>
      </c>
      <c r="R8" s="184">
        <f t="shared" si="0"/>
        <v>14</v>
      </c>
      <c r="S8" s="184">
        <f t="shared" si="0"/>
        <v>15</v>
      </c>
      <c r="T8" s="184">
        <f t="shared" si="0"/>
        <v>16</v>
      </c>
      <c r="U8" s="184">
        <f t="shared" si="0"/>
        <v>17</v>
      </c>
      <c r="V8" s="184">
        <f t="shared" si="0"/>
        <v>18</v>
      </c>
      <c r="W8" s="184">
        <f t="shared" si="0"/>
        <v>19</v>
      </c>
      <c r="X8" s="184">
        <f t="shared" si="0"/>
        <v>20</v>
      </c>
      <c r="Y8" s="184">
        <f t="shared" si="0"/>
        <v>21</v>
      </c>
      <c r="Z8" s="184">
        <f t="shared" si="0"/>
        <v>22</v>
      </c>
      <c r="AA8" s="184">
        <f t="shared" si="0"/>
        <v>23</v>
      </c>
      <c r="AB8" s="184">
        <f t="shared" si="0"/>
        <v>24</v>
      </c>
      <c r="AC8" s="184">
        <f t="shared" si="0"/>
        <v>25</v>
      </c>
      <c r="AD8" s="184">
        <f t="shared" si="0"/>
        <v>26</v>
      </c>
      <c r="AE8" s="184">
        <f t="shared" si="0"/>
        <v>27</v>
      </c>
      <c r="AF8" s="184">
        <f t="shared" si="0"/>
        <v>28</v>
      </c>
      <c r="AG8" s="184">
        <f t="shared" si="0"/>
        <v>29</v>
      </c>
      <c r="AH8" s="184">
        <f t="shared" si="0"/>
        <v>30</v>
      </c>
    </row>
    <row r="9" spans="2:34" x14ac:dyDescent="0.2">
      <c r="B9" s="11"/>
      <c r="C9" s="55"/>
      <c r="D9" s="5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</row>
    <row r="10" spans="2:34" x14ac:dyDescent="0.2">
      <c r="B10" s="11"/>
      <c r="C10" s="11" t="s">
        <v>149</v>
      </c>
      <c r="D10" s="142">
        <v>0.02</v>
      </c>
      <c r="E10" s="137">
        <f>'Income &amp; Expenses'!J20</f>
        <v>1410480</v>
      </c>
      <c r="F10" s="128">
        <f>E10*(1+$D$10)</f>
        <v>1438689.6</v>
      </c>
      <c r="G10" s="128">
        <f t="shared" ref="G10:AH10" si="1">F10*(1+$D$10)</f>
        <v>1467463.3920000002</v>
      </c>
      <c r="H10" s="128">
        <f t="shared" si="1"/>
        <v>1496812.6598400003</v>
      </c>
      <c r="I10" s="128">
        <f t="shared" si="1"/>
        <v>1526748.9130368005</v>
      </c>
      <c r="J10" s="128">
        <f t="shared" si="1"/>
        <v>1557283.8912975364</v>
      </c>
      <c r="K10" s="128">
        <f t="shared" si="1"/>
        <v>1588429.5691234872</v>
      </c>
      <c r="L10" s="128">
        <f t="shared" si="1"/>
        <v>1620198.160505957</v>
      </c>
      <c r="M10" s="128">
        <f t="shared" si="1"/>
        <v>1652602.1237160761</v>
      </c>
      <c r="N10" s="128">
        <f t="shared" si="1"/>
        <v>1685654.1661903977</v>
      </c>
      <c r="O10" s="128">
        <f t="shared" si="1"/>
        <v>1719367.2495142056</v>
      </c>
      <c r="P10" s="128">
        <f t="shared" si="1"/>
        <v>1753754.5945044898</v>
      </c>
      <c r="Q10" s="128">
        <f t="shared" si="1"/>
        <v>1788829.6863945797</v>
      </c>
      <c r="R10" s="128">
        <f t="shared" si="1"/>
        <v>1824606.2801224713</v>
      </c>
      <c r="S10" s="128">
        <f t="shared" si="1"/>
        <v>1861098.4057249208</v>
      </c>
      <c r="T10" s="128">
        <f t="shared" si="1"/>
        <v>1898320.3738394193</v>
      </c>
      <c r="U10" s="128">
        <f t="shared" si="1"/>
        <v>1936286.7813162077</v>
      </c>
      <c r="V10" s="128">
        <f t="shared" si="1"/>
        <v>1975012.5169425318</v>
      </c>
      <c r="W10" s="128">
        <f t="shared" si="1"/>
        <v>2014512.7672813826</v>
      </c>
      <c r="X10" s="128">
        <f t="shared" si="1"/>
        <v>2054803.0226270102</v>
      </c>
      <c r="Y10" s="128">
        <f t="shared" si="1"/>
        <v>2095899.0830795504</v>
      </c>
      <c r="Z10" s="128">
        <f t="shared" si="1"/>
        <v>2137817.0647411416</v>
      </c>
      <c r="AA10" s="128">
        <f t="shared" si="1"/>
        <v>2180573.4060359644</v>
      </c>
      <c r="AB10" s="128">
        <f t="shared" si="1"/>
        <v>2224184.8741566837</v>
      </c>
      <c r="AC10" s="128">
        <f t="shared" si="1"/>
        <v>2268668.5716398172</v>
      </c>
      <c r="AD10" s="128">
        <f t="shared" si="1"/>
        <v>2314041.9430726138</v>
      </c>
      <c r="AE10" s="128">
        <f t="shared" si="1"/>
        <v>2360322.7819340662</v>
      </c>
      <c r="AF10" s="128">
        <f t="shared" si="1"/>
        <v>2407529.2375727477</v>
      </c>
      <c r="AG10" s="128">
        <f t="shared" si="1"/>
        <v>2455679.8223242029</v>
      </c>
      <c r="AH10" s="128">
        <f t="shared" si="1"/>
        <v>2504793.4187706872</v>
      </c>
    </row>
    <row r="11" spans="2:34" x14ac:dyDescent="0.2">
      <c r="B11" s="11"/>
      <c r="C11" s="11" t="s">
        <v>670</v>
      </c>
      <c r="D11" s="140">
        <v>100</v>
      </c>
      <c r="E11" s="110">
        <f>$D$11*'Income &amp; Expenses'!$F$19</f>
        <v>16800</v>
      </c>
      <c r="F11" s="128">
        <f>E11*(1+$D$10)</f>
        <v>17136</v>
      </c>
      <c r="G11" s="128">
        <f t="shared" ref="G11:AH11" si="2">F11*(1+$D$10)</f>
        <v>17478.72</v>
      </c>
      <c r="H11" s="128">
        <f t="shared" si="2"/>
        <v>17828.294400000002</v>
      </c>
      <c r="I11" s="128">
        <f t="shared" si="2"/>
        <v>18184.860288000003</v>
      </c>
      <c r="J11" s="128">
        <f t="shared" si="2"/>
        <v>18548.557493760003</v>
      </c>
      <c r="K11" s="128">
        <f t="shared" si="2"/>
        <v>18919.528643635203</v>
      </c>
      <c r="L11" s="128">
        <f t="shared" si="2"/>
        <v>19297.919216507908</v>
      </c>
      <c r="M11" s="128">
        <f t="shared" si="2"/>
        <v>19683.877600838066</v>
      </c>
      <c r="N11" s="128">
        <f t="shared" si="2"/>
        <v>20077.555152854828</v>
      </c>
      <c r="O11" s="128">
        <f t="shared" si="2"/>
        <v>20479.106255911924</v>
      </c>
      <c r="P11" s="128">
        <f t="shared" si="2"/>
        <v>20888.688381030162</v>
      </c>
      <c r="Q11" s="128">
        <f t="shared" si="2"/>
        <v>21306.462148650768</v>
      </c>
      <c r="R11" s="128">
        <f t="shared" si="2"/>
        <v>21732.591391623784</v>
      </c>
      <c r="S11" s="128">
        <f t="shared" si="2"/>
        <v>22167.243219456261</v>
      </c>
      <c r="T11" s="128">
        <f t="shared" si="2"/>
        <v>22610.588083845385</v>
      </c>
      <c r="U11" s="128">
        <f t="shared" si="2"/>
        <v>23062.799845522291</v>
      </c>
      <c r="V11" s="128">
        <f t="shared" si="2"/>
        <v>23524.055842432739</v>
      </c>
      <c r="W11" s="128">
        <f t="shared" si="2"/>
        <v>23994.536959281395</v>
      </c>
      <c r="X11" s="128">
        <f t="shared" si="2"/>
        <v>24474.427698467025</v>
      </c>
      <c r="Y11" s="128">
        <f t="shared" si="2"/>
        <v>24963.916252436367</v>
      </c>
      <c r="Z11" s="128">
        <f t="shared" si="2"/>
        <v>25463.194577485094</v>
      </c>
      <c r="AA11" s="128">
        <f t="shared" si="2"/>
        <v>25972.458469034795</v>
      </c>
      <c r="AB11" s="128">
        <f t="shared" si="2"/>
        <v>26491.907638415491</v>
      </c>
      <c r="AC11" s="128">
        <f t="shared" si="2"/>
        <v>27021.745791183799</v>
      </c>
      <c r="AD11" s="128">
        <f t="shared" si="2"/>
        <v>27562.180707007476</v>
      </c>
      <c r="AE11" s="128">
        <f t="shared" si="2"/>
        <v>28113.424321147624</v>
      </c>
      <c r="AF11" s="128">
        <f t="shared" si="2"/>
        <v>28675.692807570576</v>
      </c>
      <c r="AG11" s="128">
        <f t="shared" si="2"/>
        <v>29249.206663721987</v>
      </c>
      <c r="AH11" s="128">
        <f t="shared" si="2"/>
        <v>29834.190796996427</v>
      </c>
    </row>
    <row r="12" spans="2:34" x14ac:dyDescent="0.2">
      <c r="B12" s="11"/>
      <c r="C12" s="55" t="s">
        <v>671</v>
      </c>
      <c r="D12" s="55"/>
      <c r="E12" s="186">
        <f>SUM(E10:E11)</f>
        <v>1427280</v>
      </c>
      <c r="F12" s="186">
        <f t="shared" ref="F12:AH12" si="3">SUM(F10:F11)</f>
        <v>1455825.6</v>
      </c>
      <c r="G12" s="186">
        <f t="shared" si="3"/>
        <v>1484942.1120000002</v>
      </c>
      <c r="H12" s="186">
        <f t="shared" si="3"/>
        <v>1514640.9542400003</v>
      </c>
      <c r="I12" s="186">
        <f t="shared" si="3"/>
        <v>1544933.7733248004</v>
      </c>
      <c r="J12" s="186">
        <f t="shared" si="3"/>
        <v>1575832.4487912965</v>
      </c>
      <c r="K12" s="186">
        <f t="shared" si="3"/>
        <v>1607349.0977671223</v>
      </c>
      <c r="L12" s="186">
        <f t="shared" si="3"/>
        <v>1639496.0797224648</v>
      </c>
      <c r="M12" s="186">
        <f t="shared" si="3"/>
        <v>1672286.0013169141</v>
      </c>
      <c r="N12" s="186">
        <f t="shared" si="3"/>
        <v>1705731.7213432526</v>
      </c>
      <c r="O12" s="186">
        <f t="shared" si="3"/>
        <v>1739846.3557701176</v>
      </c>
      <c r="P12" s="186">
        <f t="shared" si="3"/>
        <v>1774643.28288552</v>
      </c>
      <c r="Q12" s="186">
        <f t="shared" si="3"/>
        <v>1810136.1485432305</v>
      </c>
      <c r="R12" s="186">
        <f t="shared" si="3"/>
        <v>1846338.871514095</v>
      </c>
      <c r="S12" s="186">
        <f t="shared" si="3"/>
        <v>1883265.648944377</v>
      </c>
      <c r="T12" s="186">
        <f t="shared" si="3"/>
        <v>1920930.9619232647</v>
      </c>
      <c r="U12" s="186">
        <f t="shared" si="3"/>
        <v>1959349.58116173</v>
      </c>
      <c r="V12" s="186">
        <f t="shared" si="3"/>
        <v>1998536.5727849645</v>
      </c>
      <c r="W12" s="186">
        <f t="shared" si="3"/>
        <v>2038507.304240664</v>
      </c>
      <c r="X12" s="186">
        <f t="shared" si="3"/>
        <v>2079277.4503254772</v>
      </c>
      <c r="Y12" s="186">
        <f t="shared" si="3"/>
        <v>2120862.999331987</v>
      </c>
      <c r="Z12" s="186">
        <f t="shared" si="3"/>
        <v>2163280.259318627</v>
      </c>
      <c r="AA12" s="186">
        <f t="shared" si="3"/>
        <v>2206545.864504999</v>
      </c>
      <c r="AB12" s="186">
        <f t="shared" si="3"/>
        <v>2250676.7817950994</v>
      </c>
      <c r="AC12" s="186">
        <f t="shared" si="3"/>
        <v>2295690.317431001</v>
      </c>
      <c r="AD12" s="186">
        <f t="shared" si="3"/>
        <v>2341604.1237796214</v>
      </c>
      <c r="AE12" s="186">
        <f t="shared" si="3"/>
        <v>2388436.2062552138</v>
      </c>
      <c r="AF12" s="186">
        <f t="shared" si="3"/>
        <v>2436204.9303803183</v>
      </c>
      <c r="AG12" s="186">
        <f t="shared" si="3"/>
        <v>2484929.028987925</v>
      </c>
      <c r="AH12" s="186">
        <f t="shared" si="3"/>
        <v>2534627.6095676837</v>
      </c>
    </row>
    <row r="13" spans="2:34" x14ac:dyDescent="0.2">
      <c r="B13" s="11"/>
      <c r="C13" s="187"/>
      <c r="D13" s="187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</row>
    <row r="14" spans="2:34" x14ac:dyDescent="0.2">
      <c r="B14" s="11"/>
      <c r="C14" s="11" t="s">
        <v>672</v>
      </c>
      <c r="D14" s="142">
        <v>7.0000000000000007E-2</v>
      </c>
      <c r="E14" s="128">
        <f>-E12*$D$14</f>
        <v>-99909.6</v>
      </c>
      <c r="F14" s="128">
        <f t="shared" ref="F14:AH14" si="4">-F12*$D$14</f>
        <v>-101907.79200000002</v>
      </c>
      <c r="G14" s="128">
        <f t="shared" si="4"/>
        <v>-103945.94784000002</v>
      </c>
      <c r="H14" s="128">
        <f t="shared" si="4"/>
        <v>-106024.86679680004</v>
      </c>
      <c r="I14" s="128">
        <f t="shared" si="4"/>
        <v>-108145.36413273604</v>
      </c>
      <c r="J14" s="128">
        <f t="shared" si="4"/>
        <v>-110308.27141539076</v>
      </c>
      <c r="K14" s="128">
        <f t="shared" si="4"/>
        <v>-112514.43684369857</v>
      </c>
      <c r="L14" s="128">
        <f t="shared" si="4"/>
        <v>-114764.72558057254</v>
      </c>
      <c r="M14" s="128">
        <f t="shared" si="4"/>
        <v>-117060.020092184</v>
      </c>
      <c r="N14" s="128">
        <f t="shared" si="4"/>
        <v>-119401.22049402769</v>
      </c>
      <c r="O14" s="128">
        <f t="shared" si="4"/>
        <v>-121789.24490390824</v>
      </c>
      <c r="P14" s="128">
        <f t="shared" si="4"/>
        <v>-124225.02980198641</v>
      </c>
      <c r="Q14" s="128">
        <f t="shared" si="4"/>
        <v>-126709.53039802615</v>
      </c>
      <c r="R14" s="128">
        <f t="shared" si="4"/>
        <v>-129243.72100598666</v>
      </c>
      <c r="S14" s="128">
        <f t="shared" si="4"/>
        <v>-131828.59542610639</v>
      </c>
      <c r="T14" s="128">
        <f t="shared" si="4"/>
        <v>-134465.16733462855</v>
      </c>
      <c r="U14" s="128">
        <f t="shared" si="4"/>
        <v>-137154.47068132111</v>
      </c>
      <c r="V14" s="128">
        <f t="shared" si="4"/>
        <v>-139897.56009494752</v>
      </c>
      <c r="W14" s="128">
        <f t="shared" si="4"/>
        <v>-142695.5112968465</v>
      </c>
      <c r="X14" s="128">
        <f t="shared" si="4"/>
        <v>-145549.42152278341</v>
      </c>
      <c r="Y14" s="128">
        <f t="shared" si="4"/>
        <v>-148460.40995323911</v>
      </c>
      <c r="Z14" s="128">
        <f t="shared" si="4"/>
        <v>-151429.61815230391</v>
      </c>
      <c r="AA14" s="128">
        <f t="shared" si="4"/>
        <v>-154458.21051534996</v>
      </c>
      <c r="AB14" s="128">
        <f t="shared" si="4"/>
        <v>-157547.37472565696</v>
      </c>
      <c r="AC14" s="128">
        <f t="shared" si="4"/>
        <v>-160698.32222017008</v>
      </c>
      <c r="AD14" s="128">
        <f t="shared" si="4"/>
        <v>-163912.28866457351</v>
      </c>
      <c r="AE14" s="128">
        <f t="shared" si="4"/>
        <v>-167190.53443786499</v>
      </c>
      <c r="AF14" s="128">
        <f t="shared" si="4"/>
        <v>-170534.3451266223</v>
      </c>
      <c r="AG14" s="128">
        <f t="shared" si="4"/>
        <v>-173945.03202915477</v>
      </c>
      <c r="AH14" s="128">
        <f t="shared" si="4"/>
        <v>-177423.93266973787</v>
      </c>
    </row>
    <row r="15" spans="2:34" x14ac:dyDescent="0.2">
      <c r="B15" s="11"/>
      <c r="C15" s="182" t="s">
        <v>673</v>
      </c>
      <c r="D15" s="182"/>
      <c r="E15" s="123">
        <f>SUM(E12:E14)</f>
        <v>1327370.3999999999</v>
      </c>
      <c r="F15" s="123">
        <f t="shared" ref="F15:AH15" si="5">SUM(F12:F14)</f>
        <v>1353917.8080000002</v>
      </c>
      <c r="G15" s="123">
        <f t="shared" si="5"/>
        <v>1380996.1641600002</v>
      </c>
      <c r="H15" s="123">
        <f t="shared" si="5"/>
        <v>1408616.0874432004</v>
      </c>
      <c r="I15" s="123">
        <f t="shared" si="5"/>
        <v>1436788.4091920643</v>
      </c>
      <c r="J15" s="123">
        <f t="shared" si="5"/>
        <v>1465524.1773759057</v>
      </c>
      <c r="K15" s="123">
        <f t="shared" si="5"/>
        <v>1494834.6609234237</v>
      </c>
      <c r="L15" s="123">
        <f t="shared" si="5"/>
        <v>1524731.3541418922</v>
      </c>
      <c r="M15" s="123">
        <f t="shared" si="5"/>
        <v>1555225.9812247301</v>
      </c>
      <c r="N15" s="123">
        <f t="shared" si="5"/>
        <v>1586330.5008492249</v>
      </c>
      <c r="O15" s="123">
        <f t="shared" si="5"/>
        <v>1618057.1108662093</v>
      </c>
      <c r="P15" s="123">
        <f t="shared" si="5"/>
        <v>1650418.2530835336</v>
      </c>
      <c r="Q15" s="123">
        <f t="shared" si="5"/>
        <v>1683426.6181452044</v>
      </c>
      <c r="R15" s="123">
        <f t="shared" si="5"/>
        <v>1717095.1505081083</v>
      </c>
      <c r="S15" s="123">
        <f t="shared" si="5"/>
        <v>1751437.0535182706</v>
      </c>
      <c r="T15" s="123">
        <f t="shared" si="5"/>
        <v>1786465.7945886361</v>
      </c>
      <c r="U15" s="123">
        <f t="shared" si="5"/>
        <v>1822195.1104804089</v>
      </c>
      <c r="V15" s="123">
        <f t="shared" si="5"/>
        <v>1858639.012690017</v>
      </c>
      <c r="W15" s="123">
        <f t="shared" si="5"/>
        <v>1895811.7929438176</v>
      </c>
      <c r="X15" s="123">
        <f t="shared" si="5"/>
        <v>1933728.0288026938</v>
      </c>
      <c r="Y15" s="123">
        <f t="shared" si="5"/>
        <v>1972402.5893787479</v>
      </c>
      <c r="Z15" s="123">
        <f t="shared" si="5"/>
        <v>2011850.6411663231</v>
      </c>
      <c r="AA15" s="123">
        <f t="shared" si="5"/>
        <v>2052087.6539896491</v>
      </c>
      <c r="AB15" s="123">
        <f t="shared" si="5"/>
        <v>2093129.4070694423</v>
      </c>
      <c r="AC15" s="123">
        <f t="shared" si="5"/>
        <v>2134991.9952108311</v>
      </c>
      <c r="AD15" s="123">
        <f t="shared" si="5"/>
        <v>2177691.8351150481</v>
      </c>
      <c r="AE15" s="123">
        <f t="shared" si="5"/>
        <v>2221245.6718173488</v>
      </c>
      <c r="AF15" s="123">
        <f t="shared" si="5"/>
        <v>2265670.585253696</v>
      </c>
      <c r="AG15" s="123">
        <f t="shared" si="5"/>
        <v>2310983.9969587703</v>
      </c>
      <c r="AH15" s="123">
        <f t="shared" si="5"/>
        <v>2357203.6768979458</v>
      </c>
    </row>
    <row r="16" spans="2:34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2:34" x14ac:dyDescent="0.2">
      <c r="B17" s="11"/>
      <c r="C17" s="11" t="s">
        <v>674</v>
      </c>
      <c r="D17" s="142">
        <v>0.03</v>
      </c>
      <c r="E17" s="137">
        <f>-'Income &amp; Expenses'!F110</f>
        <v>-650000</v>
      </c>
      <c r="F17" s="128">
        <f>E17*(1+$D$17)</f>
        <v>-669500</v>
      </c>
      <c r="G17" s="128">
        <f t="shared" ref="G17:AH17" si="6">F17*(1+$D$17)</f>
        <v>-689585</v>
      </c>
      <c r="H17" s="128">
        <f t="shared" si="6"/>
        <v>-710272.55</v>
      </c>
      <c r="I17" s="128">
        <f t="shared" si="6"/>
        <v>-731580.72650000011</v>
      </c>
      <c r="J17" s="128">
        <f t="shared" si="6"/>
        <v>-753528.14829500008</v>
      </c>
      <c r="K17" s="128">
        <f t="shared" si="6"/>
        <v>-776133.9927438501</v>
      </c>
      <c r="L17" s="128">
        <f t="shared" si="6"/>
        <v>-799418.01252616558</v>
      </c>
      <c r="M17" s="128">
        <f t="shared" si="6"/>
        <v>-823400.55290195055</v>
      </c>
      <c r="N17" s="128">
        <f t="shared" si="6"/>
        <v>-848102.5694890091</v>
      </c>
      <c r="O17" s="128">
        <f t="shared" si="6"/>
        <v>-873545.64657367941</v>
      </c>
      <c r="P17" s="128">
        <f t="shared" si="6"/>
        <v>-899752.01597088983</v>
      </c>
      <c r="Q17" s="128">
        <f t="shared" si="6"/>
        <v>-926744.57645001658</v>
      </c>
      <c r="R17" s="128">
        <f t="shared" si="6"/>
        <v>-954546.91374351713</v>
      </c>
      <c r="S17" s="128">
        <f t="shared" si="6"/>
        <v>-983183.32115582272</v>
      </c>
      <c r="T17" s="128">
        <f t="shared" si="6"/>
        <v>-1012678.8207904975</v>
      </c>
      <c r="U17" s="128">
        <f t="shared" si="6"/>
        <v>-1043059.1854142124</v>
      </c>
      <c r="V17" s="128">
        <f t="shared" si="6"/>
        <v>-1074350.9609766388</v>
      </c>
      <c r="W17" s="128">
        <f t="shared" si="6"/>
        <v>-1106581.489805938</v>
      </c>
      <c r="X17" s="128">
        <f t="shared" si="6"/>
        <v>-1139778.9345001162</v>
      </c>
      <c r="Y17" s="128">
        <f t="shared" si="6"/>
        <v>-1173972.3025351197</v>
      </c>
      <c r="Z17" s="128">
        <f t="shared" si="6"/>
        <v>-1209191.4716111734</v>
      </c>
      <c r="AA17" s="128">
        <f t="shared" si="6"/>
        <v>-1245467.2157595085</v>
      </c>
      <c r="AB17" s="128">
        <f t="shared" si="6"/>
        <v>-1282831.2322322938</v>
      </c>
      <c r="AC17" s="128">
        <f t="shared" si="6"/>
        <v>-1321316.1691992627</v>
      </c>
      <c r="AD17" s="128">
        <f t="shared" si="6"/>
        <v>-1360955.6542752406</v>
      </c>
      <c r="AE17" s="128">
        <f t="shared" si="6"/>
        <v>-1401784.3239034978</v>
      </c>
      <c r="AF17" s="128">
        <f t="shared" si="6"/>
        <v>-1443837.8536206027</v>
      </c>
      <c r="AG17" s="128">
        <f t="shared" si="6"/>
        <v>-1487152.9892292209</v>
      </c>
      <c r="AH17" s="128">
        <f t="shared" si="6"/>
        <v>-1531767.5789060974</v>
      </c>
    </row>
    <row r="18" spans="2:34" x14ac:dyDescent="0.2">
      <c r="B18" s="11"/>
      <c r="C18" s="11" t="s">
        <v>675</v>
      </c>
      <c r="D18" s="188">
        <f>D17</f>
        <v>0.03</v>
      </c>
      <c r="E18" s="110">
        <f>-'Income &amp; Expenses'!F117</f>
        <v>-5000</v>
      </c>
      <c r="F18" s="128">
        <f>E18*(1+$D$18)</f>
        <v>-5150</v>
      </c>
      <c r="G18" s="128">
        <f t="shared" ref="G18:AH18" si="7">F18*(1+$D$18)</f>
        <v>-5304.5</v>
      </c>
      <c r="H18" s="128">
        <f t="shared" si="7"/>
        <v>-5463.6350000000002</v>
      </c>
      <c r="I18" s="128">
        <f t="shared" si="7"/>
        <v>-5627.5440500000004</v>
      </c>
      <c r="J18" s="128">
        <f t="shared" si="7"/>
        <v>-5796.3703715000001</v>
      </c>
      <c r="K18" s="128">
        <f t="shared" si="7"/>
        <v>-5970.2614826449999</v>
      </c>
      <c r="L18" s="128">
        <f t="shared" si="7"/>
        <v>-6149.3693271243501</v>
      </c>
      <c r="M18" s="128">
        <f t="shared" si="7"/>
        <v>-6333.8504069380806</v>
      </c>
      <c r="N18" s="128">
        <f t="shared" si="7"/>
        <v>-6523.865919146223</v>
      </c>
      <c r="O18" s="128">
        <f t="shared" si="7"/>
        <v>-6719.5818967206096</v>
      </c>
      <c r="P18" s="128">
        <f t="shared" si="7"/>
        <v>-6921.1693536222283</v>
      </c>
      <c r="Q18" s="128">
        <f t="shared" si="7"/>
        <v>-7128.8044342308949</v>
      </c>
      <c r="R18" s="128">
        <f t="shared" si="7"/>
        <v>-7342.6685672578224</v>
      </c>
      <c r="S18" s="128">
        <f t="shared" si="7"/>
        <v>-7562.9486242755574</v>
      </c>
      <c r="T18" s="128">
        <f t="shared" si="7"/>
        <v>-7789.8370830038248</v>
      </c>
      <c r="U18" s="128">
        <f t="shared" si="7"/>
        <v>-8023.53219549394</v>
      </c>
      <c r="V18" s="128">
        <f t="shared" si="7"/>
        <v>-8264.2381613587586</v>
      </c>
      <c r="W18" s="128">
        <f t="shared" si="7"/>
        <v>-8512.1653061995221</v>
      </c>
      <c r="X18" s="128">
        <f t="shared" si="7"/>
        <v>-8767.5302653855088</v>
      </c>
      <c r="Y18" s="128">
        <f t="shared" si="7"/>
        <v>-9030.5561733470749</v>
      </c>
      <c r="Z18" s="128">
        <f t="shared" si="7"/>
        <v>-9301.4728585474877</v>
      </c>
      <c r="AA18" s="128">
        <f t="shared" si="7"/>
        <v>-9580.5170443039133</v>
      </c>
      <c r="AB18" s="128">
        <f t="shared" si="7"/>
        <v>-9867.9325556330314</v>
      </c>
      <c r="AC18" s="128">
        <f t="shared" si="7"/>
        <v>-10163.970532302023</v>
      </c>
      <c r="AD18" s="128">
        <f t="shared" si="7"/>
        <v>-10468.889648271084</v>
      </c>
      <c r="AE18" s="128">
        <f t="shared" si="7"/>
        <v>-10782.956337719217</v>
      </c>
      <c r="AF18" s="128">
        <f t="shared" si="7"/>
        <v>-11106.445027850794</v>
      </c>
      <c r="AG18" s="128">
        <f t="shared" si="7"/>
        <v>-11439.638378686317</v>
      </c>
      <c r="AH18" s="128">
        <f t="shared" si="7"/>
        <v>-11782.827530046907</v>
      </c>
    </row>
    <row r="19" spans="2:34" x14ac:dyDescent="0.2">
      <c r="B19" s="11"/>
      <c r="C19" s="11" t="s">
        <v>558</v>
      </c>
      <c r="D19" s="142">
        <v>0.04</v>
      </c>
      <c r="E19" s="110">
        <f>-'Income &amp; Expenses'!F120</f>
        <v>-42000</v>
      </c>
      <c r="F19" s="128">
        <f>E19*(1+$D$19)</f>
        <v>-43680</v>
      </c>
      <c r="G19" s="128">
        <f t="shared" ref="G19:AH19" si="8">F19*(1+$D$19)</f>
        <v>-45427.200000000004</v>
      </c>
      <c r="H19" s="128">
        <f t="shared" si="8"/>
        <v>-47244.288000000008</v>
      </c>
      <c r="I19" s="128">
        <f t="shared" si="8"/>
        <v>-49134.05952000001</v>
      </c>
      <c r="J19" s="128">
        <f t="shared" si="8"/>
        <v>-51099.421900800015</v>
      </c>
      <c r="K19" s="128">
        <f t="shared" si="8"/>
        <v>-53143.398776832015</v>
      </c>
      <c r="L19" s="128">
        <f t="shared" si="8"/>
        <v>-55269.134727905301</v>
      </c>
      <c r="M19" s="128">
        <f t="shared" si="8"/>
        <v>-57479.900117021512</v>
      </c>
      <c r="N19" s="128">
        <f t="shared" si="8"/>
        <v>-59779.096121702372</v>
      </c>
      <c r="O19" s="128">
        <f t="shared" si="8"/>
        <v>-62170.259966570469</v>
      </c>
      <c r="P19" s="128">
        <f t="shared" si="8"/>
        <v>-64657.070365233289</v>
      </c>
      <c r="Q19" s="128">
        <f t="shared" si="8"/>
        <v>-67243.353179842627</v>
      </c>
      <c r="R19" s="128">
        <f t="shared" si="8"/>
        <v>-69933.08730703633</v>
      </c>
      <c r="S19" s="128">
        <f t="shared" si="8"/>
        <v>-72730.410799317789</v>
      </c>
      <c r="T19" s="128">
        <f t="shared" si="8"/>
        <v>-75639.627231290506</v>
      </c>
      <c r="U19" s="128">
        <f t="shared" si="8"/>
        <v>-78665.212320542123</v>
      </c>
      <c r="V19" s="128">
        <f t="shared" si="8"/>
        <v>-81811.820813363811</v>
      </c>
      <c r="W19" s="128">
        <f t="shared" si="8"/>
        <v>-85084.29364589836</v>
      </c>
      <c r="X19" s="128">
        <f t="shared" si="8"/>
        <v>-88487.665391734292</v>
      </c>
      <c r="Y19" s="128">
        <f t="shared" si="8"/>
        <v>-92027.172007403671</v>
      </c>
      <c r="Z19" s="128">
        <f t="shared" si="8"/>
        <v>-95708.25888769982</v>
      </c>
      <c r="AA19" s="128">
        <f t="shared" si="8"/>
        <v>-99536.589243207811</v>
      </c>
      <c r="AB19" s="128">
        <f t="shared" si="8"/>
        <v>-103518.05281293613</v>
      </c>
      <c r="AC19" s="128">
        <f t="shared" si="8"/>
        <v>-107658.77492545359</v>
      </c>
      <c r="AD19" s="128">
        <f t="shared" si="8"/>
        <v>-111965.12592247174</v>
      </c>
      <c r="AE19" s="128">
        <f t="shared" si="8"/>
        <v>-116443.73095937062</v>
      </c>
      <c r="AF19" s="128">
        <f t="shared" si="8"/>
        <v>-121101.48019774545</v>
      </c>
      <c r="AG19" s="128">
        <f t="shared" si="8"/>
        <v>-125945.53940565528</v>
      </c>
      <c r="AH19" s="128">
        <f t="shared" si="8"/>
        <v>-130983.36098188149</v>
      </c>
    </row>
    <row r="20" spans="2:34" x14ac:dyDescent="0.2">
      <c r="B20" s="11"/>
      <c r="C20" s="189" t="s">
        <v>676</v>
      </c>
      <c r="D20" s="189"/>
      <c r="E20" s="190">
        <f>SUM(E15:E19)</f>
        <v>630370.39999999991</v>
      </c>
      <c r="F20" s="190">
        <f t="shared" ref="F20:AH20" si="9">SUM(F15:F19)</f>
        <v>635587.80800000019</v>
      </c>
      <c r="G20" s="190">
        <f t="shared" si="9"/>
        <v>640679.46416000021</v>
      </c>
      <c r="H20" s="190">
        <f t="shared" si="9"/>
        <v>645635.61444320029</v>
      </c>
      <c r="I20" s="190">
        <f t="shared" si="9"/>
        <v>650446.07912206417</v>
      </c>
      <c r="J20" s="190">
        <f t="shared" si="9"/>
        <v>655100.23680860561</v>
      </c>
      <c r="K20" s="190">
        <f t="shared" si="9"/>
        <v>659587.00792009663</v>
      </c>
      <c r="L20" s="190">
        <f t="shared" si="9"/>
        <v>663894.83756069699</v>
      </c>
      <c r="M20" s="190">
        <f t="shared" si="9"/>
        <v>668011.67779881996</v>
      </c>
      <c r="N20" s="190">
        <f t="shared" si="9"/>
        <v>671924.9693193672</v>
      </c>
      <c r="O20" s="190">
        <f t="shared" si="9"/>
        <v>675621.62242923887</v>
      </c>
      <c r="P20" s="190">
        <f t="shared" si="9"/>
        <v>679087.9973937883</v>
      </c>
      <c r="Q20" s="190">
        <f t="shared" si="9"/>
        <v>682309.88408111432</v>
      </c>
      <c r="R20" s="190">
        <f t="shared" si="9"/>
        <v>685272.4808902971</v>
      </c>
      <c r="S20" s="190">
        <f t="shared" si="9"/>
        <v>687960.37293885462</v>
      </c>
      <c r="T20" s="190">
        <f t="shared" si="9"/>
        <v>690357.50948384427</v>
      </c>
      <c r="U20" s="190">
        <f t="shared" si="9"/>
        <v>692447.18055016047</v>
      </c>
      <c r="V20" s="190">
        <f t="shared" si="9"/>
        <v>694211.99273865565</v>
      </c>
      <c r="W20" s="190">
        <f t="shared" si="9"/>
        <v>695633.84418578167</v>
      </c>
      <c r="X20" s="190">
        <f t="shared" si="9"/>
        <v>696693.89864545781</v>
      </c>
      <c r="Y20" s="190">
        <f t="shared" si="9"/>
        <v>697372.55866287742</v>
      </c>
      <c r="Z20" s="190">
        <f t="shared" si="9"/>
        <v>697649.43780890247</v>
      </c>
      <c r="AA20" s="190">
        <f t="shared" si="9"/>
        <v>697503.33194262884</v>
      </c>
      <c r="AB20" s="190">
        <f t="shared" si="9"/>
        <v>696912.18946857937</v>
      </c>
      <c r="AC20" s="190">
        <f t="shared" si="9"/>
        <v>695853.08055381267</v>
      </c>
      <c r="AD20" s="190">
        <f t="shared" si="9"/>
        <v>694302.16526906472</v>
      </c>
      <c r="AE20" s="190">
        <f t="shared" si="9"/>
        <v>692234.66061676119</v>
      </c>
      <c r="AF20" s="190">
        <f t="shared" si="9"/>
        <v>689624.80640749692</v>
      </c>
      <c r="AG20" s="190">
        <f t="shared" si="9"/>
        <v>686445.82994520792</v>
      </c>
      <c r="AH20" s="190">
        <f t="shared" si="9"/>
        <v>682669.90947991994</v>
      </c>
    </row>
    <row r="21" spans="2:34" x14ac:dyDescent="0.2">
      <c r="B21" s="11"/>
      <c r="C21" s="235"/>
      <c r="D21" s="66" t="s">
        <v>647</v>
      </c>
      <c r="E21" s="236">
        <f>E20/'Income &amp; Expenses'!$F$19</f>
        <v>3752.2047619047612</v>
      </c>
      <c r="F21" s="236">
        <f>F20/'Income &amp; Expenses'!$F$19</f>
        <v>3783.2607619047631</v>
      </c>
      <c r="G21" s="236">
        <f>G20/'Income &amp; Expenses'!$F$19</f>
        <v>3813.5682390476204</v>
      </c>
      <c r="H21" s="236">
        <f>H20/'Income &amp; Expenses'!$F$19</f>
        <v>3843.069133590478</v>
      </c>
      <c r="I21" s="236">
        <f>I20/'Income &amp; Expenses'!$F$19</f>
        <v>3871.7028519170485</v>
      </c>
      <c r="J21" s="236">
        <f>J20/'Income &amp; Expenses'!$F$19</f>
        <v>3899.4061714797954</v>
      </c>
      <c r="K21" s="236">
        <f>K20/'Income &amp; Expenses'!$F$19</f>
        <v>3926.1131423815277</v>
      </c>
      <c r="L21" s="236">
        <f>L20/'Income &amp; Expenses'!$F$19</f>
        <v>3951.7549854803392</v>
      </c>
      <c r="M21" s="236">
        <f>M20/'Income &amp; Expenses'!$F$19</f>
        <v>3976.2599868977377</v>
      </c>
      <c r="N21" s="236">
        <f>N20/'Income &amp; Expenses'!$F$19</f>
        <v>3999.5533888057571</v>
      </c>
      <c r="O21" s="236">
        <f>O20/'Income &amp; Expenses'!$F$19</f>
        <v>4021.5572763645168</v>
      </c>
      <c r="P21" s="236">
        <f>P20/'Income &amp; Expenses'!$F$19</f>
        <v>4042.1904606773114</v>
      </c>
      <c r="Q21" s="236">
        <f>Q20/'Income &amp; Expenses'!$F$19</f>
        <v>4061.3683576256803</v>
      </c>
      <c r="R21" s="236">
        <f>R20/'Income &amp; Expenses'!$F$19</f>
        <v>4079.0028624422448</v>
      </c>
      <c r="S21" s="236">
        <f>S20/'Income &amp; Expenses'!$F$19</f>
        <v>4095.0022198741344</v>
      </c>
      <c r="T21" s="236">
        <f>T20/'Income &amp; Expenses'!$F$19</f>
        <v>4109.270889784787</v>
      </c>
      <c r="U21" s="236">
        <f>U20/'Income &amp; Expenses'!$F$19</f>
        <v>4121.7094080366696</v>
      </c>
      <c r="V21" s="236">
        <f>V20/'Income &amp; Expenses'!$F$19</f>
        <v>4132.2142424919975</v>
      </c>
      <c r="W21" s="236">
        <f>W20/'Income &amp; Expenses'!$F$19</f>
        <v>4140.6776439629857</v>
      </c>
      <c r="X21" s="236">
        <f>X20/'Income &amp; Expenses'!$F$19</f>
        <v>4146.9874919372487</v>
      </c>
      <c r="Y21" s="236">
        <f>Y20/'Income &amp; Expenses'!$F$19</f>
        <v>4151.0271348980796</v>
      </c>
      <c r="Z21" s="236">
        <f>Z20/'Income &amp; Expenses'!$F$19</f>
        <v>4152.6752250529908</v>
      </c>
      <c r="AA21" s="236">
        <f>AA20/'Income &amp; Expenses'!$F$19</f>
        <v>4151.8055472775523</v>
      </c>
      <c r="AB21" s="236">
        <f>AB20/'Income &amp; Expenses'!$F$19</f>
        <v>4148.2868420748773</v>
      </c>
      <c r="AC21" s="236">
        <f>AC20/'Income &amp; Expenses'!$F$19</f>
        <v>4141.9826223441232</v>
      </c>
      <c r="AD21" s="236">
        <f>AD20/'Income &amp; Expenses'!$F$19</f>
        <v>4132.7509837444331</v>
      </c>
      <c r="AE21" s="236">
        <f>AE20/'Income &amp; Expenses'!$F$19</f>
        <v>4120.4444084331026</v>
      </c>
      <c r="AF21" s="236">
        <f>AF20/'Income &amp; Expenses'!$F$19</f>
        <v>4104.9095619493864</v>
      </c>
      <c r="AG21" s="236">
        <f>AG20/'Income &amp; Expenses'!$F$19</f>
        <v>4085.98708300719</v>
      </c>
      <c r="AH21" s="236">
        <f>AH20/'Income &amp; Expenses'!$F$19</f>
        <v>4063.5113659519043</v>
      </c>
    </row>
    <row r="22" spans="2:34" x14ac:dyDescent="0.2">
      <c r="B22" s="11"/>
      <c r="C22" s="235"/>
      <c r="D22" s="66" t="s">
        <v>681</v>
      </c>
      <c r="E22" s="237" t="e">
        <f>E20/'Income &amp; Expenses'!$J$22</f>
        <v>#DIV/0!</v>
      </c>
      <c r="F22" s="237" t="e">
        <f>F20/'Income &amp; Expenses'!$J$22</f>
        <v>#DIV/0!</v>
      </c>
      <c r="G22" s="237" t="e">
        <f>G20/'Income &amp; Expenses'!$J$22</f>
        <v>#DIV/0!</v>
      </c>
      <c r="H22" s="237" t="e">
        <f>H20/'Income &amp; Expenses'!$J$22</f>
        <v>#DIV/0!</v>
      </c>
      <c r="I22" s="237" t="e">
        <f>I20/'Income &amp; Expenses'!$J$22</f>
        <v>#DIV/0!</v>
      </c>
      <c r="J22" s="237" t="e">
        <f>J20/'Income &amp; Expenses'!$J$22</f>
        <v>#DIV/0!</v>
      </c>
      <c r="K22" s="237" t="e">
        <f>K20/'Income &amp; Expenses'!$J$22</f>
        <v>#DIV/0!</v>
      </c>
      <c r="L22" s="237" t="e">
        <f>L20/'Income &amp; Expenses'!$J$22</f>
        <v>#DIV/0!</v>
      </c>
      <c r="M22" s="237" t="e">
        <f>M20/'Income &amp; Expenses'!$J$22</f>
        <v>#DIV/0!</v>
      </c>
      <c r="N22" s="237" t="e">
        <f>N20/'Income &amp; Expenses'!$J$22</f>
        <v>#DIV/0!</v>
      </c>
      <c r="O22" s="237" t="e">
        <f>O20/'Income &amp; Expenses'!$J$22</f>
        <v>#DIV/0!</v>
      </c>
      <c r="P22" s="237" t="e">
        <f>P20/'Income &amp; Expenses'!$J$22</f>
        <v>#DIV/0!</v>
      </c>
      <c r="Q22" s="237" t="e">
        <f>Q20/'Income &amp; Expenses'!$J$22</f>
        <v>#DIV/0!</v>
      </c>
      <c r="R22" s="237" t="e">
        <f>R20/'Income &amp; Expenses'!$J$22</f>
        <v>#DIV/0!</v>
      </c>
      <c r="S22" s="237" t="e">
        <f>S20/'Income &amp; Expenses'!$J$22</f>
        <v>#DIV/0!</v>
      </c>
      <c r="T22" s="237" t="e">
        <f>T20/'Income &amp; Expenses'!$J$22</f>
        <v>#DIV/0!</v>
      </c>
      <c r="U22" s="237" t="e">
        <f>U20/'Income &amp; Expenses'!$J$22</f>
        <v>#DIV/0!</v>
      </c>
      <c r="V22" s="237" t="e">
        <f>V20/'Income &amp; Expenses'!$J$22</f>
        <v>#DIV/0!</v>
      </c>
      <c r="W22" s="237" t="e">
        <f>W20/'Income &amp; Expenses'!$J$22</f>
        <v>#DIV/0!</v>
      </c>
      <c r="X22" s="237" t="e">
        <f>X20/'Income &amp; Expenses'!$J$22</f>
        <v>#DIV/0!</v>
      </c>
      <c r="Y22" s="237" t="e">
        <f>Y20/'Income &amp; Expenses'!$J$22</f>
        <v>#DIV/0!</v>
      </c>
      <c r="Z22" s="237" t="e">
        <f>Z20/'Income &amp; Expenses'!$J$22</f>
        <v>#DIV/0!</v>
      </c>
      <c r="AA22" s="237" t="e">
        <f>AA20/'Income &amp; Expenses'!$J$22</f>
        <v>#DIV/0!</v>
      </c>
      <c r="AB22" s="237" t="e">
        <f>AB20/'Income &amp; Expenses'!$J$22</f>
        <v>#DIV/0!</v>
      </c>
      <c r="AC22" s="237" t="e">
        <f>AC20/'Income &amp; Expenses'!$J$22</f>
        <v>#DIV/0!</v>
      </c>
      <c r="AD22" s="237" t="e">
        <f>AD20/'Income &amp; Expenses'!$J$22</f>
        <v>#DIV/0!</v>
      </c>
      <c r="AE22" s="237" t="e">
        <f>AE20/'Income &amp; Expenses'!$J$22</f>
        <v>#DIV/0!</v>
      </c>
      <c r="AF22" s="237" t="e">
        <f>AF20/'Income &amp; Expenses'!$J$22</f>
        <v>#DIV/0!</v>
      </c>
      <c r="AG22" s="237" t="e">
        <f>AG20/'Income &amp; Expenses'!$J$22</f>
        <v>#DIV/0!</v>
      </c>
      <c r="AH22" s="237" t="e">
        <f>AH20/'Income &amp; Expenses'!$J$22</f>
        <v>#DIV/0!</v>
      </c>
    </row>
    <row r="23" spans="2:34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2:34" x14ac:dyDescent="0.2">
      <c r="B24" s="11"/>
      <c r="C24" s="11" t="s">
        <v>677</v>
      </c>
      <c r="D24" s="191">
        <v>1.1499999999999999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2:34" x14ac:dyDescent="0.2">
      <c r="B25" s="11"/>
      <c r="C25" s="11" t="s">
        <v>700</v>
      </c>
      <c r="D25" s="11"/>
      <c r="E25" s="308">
        <f>E20/$D$24</f>
        <v>548148.17391304346</v>
      </c>
      <c r="F25" s="128">
        <f t="shared" ref="F25:AH25" si="10">F20/$D$24</f>
        <v>552685.05043478287</v>
      </c>
      <c r="G25" s="128">
        <f t="shared" si="10"/>
        <v>557112.57753043505</v>
      </c>
      <c r="H25" s="128">
        <f t="shared" si="10"/>
        <v>561422.2734288699</v>
      </c>
      <c r="I25" s="128">
        <f t="shared" si="10"/>
        <v>565605.28619309934</v>
      </c>
      <c r="J25" s="128">
        <f t="shared" si="10"/>
        <v>569652.3798335701</v>
      </c>
      <c r="K25" s="128">
        <f t="shared" si="10"/>
        <v>573553.91993051884</v>
      </c>
      <c r="L25" s="128">
        <f t="shared" si="10"/>
        <v>577299.85874843225</v>
      </c>
      <c r="M25" s="128">
        <f t="shared" si="10"/>
        <v>580879.71982506092</v>
      </c>
      <c r="N25" s="128">
        <f t="shared" si="10"/>
        <v>584282.58201684104</v>
      </c>
      <c r="O25" s="128">
        <f t="shared" si="10"/>
        <v>587497.06298194686</v>
      </c>
      <c r="P25" s="128">
        <f t="shared" si="10"/>
        <v>590511.30208155513</v>
      </c>
      <c r="Q25" s="128">
        <f t="shared" si="10"/>
        <v>593312.94267922989</v>
      </c>
      <c r="R25" s="128">
        <f t="shared" si="10"/>
        <v>595889.11381764966</v>
      </c>
      <c r="S25" s="128">
        <f t="shared" si="10"/>
        <v>598226.41125117801</v>
      </c>
      <c r="T25" s="128">
        <f t="shared" si="10"/>
        <v>600310.87781203853</v>
      </c>
      <c r="U25" s="128">
        <f t="shared" si="10"/>
        <v>602127.98308709613</v>
      </c>
      <c r="V25" s="128">
        <f t="shared" si="10"/>
        <v>603662.60238143976</v>
      </c>
      <c r="W25" s="128">
        <f t="shared" si="10"/>
        <v>604898.99494415801</v>
      </c>
      <c r="X25" s="128">
        <f t="shared" si="10"/>
        <v>605820.78143083293</v>
      </c>
      <c r="Y25" s="128">
        <f t="shared" si="10"/>
        <v>606410.92057641514</v>
      </c>
      <c r="Z25" s="128">
        <f t="shared" si="10"/>
        <v>606651.68505121954</v>
      </c>
      <c r="AA25" s="128">
        <f t="shared" si="10"/>
        <v>606524.63647185126</v>
      </c>
      <c r="AB25" s="128">
        <f t="shared" si="10"/>
        <v>606010.59953789518</v>
      </c>
      <c r="AC25" s="128">
        <f t="shared" si="10"/>
        <v>605089.63526418502</v>
      </c>
      <c r="AD25" s="128">
        <f t="shared" si="10"/>
        <v>603741.01327744767</v>
      </c>
      <c r="AE25" s="128">
        <f t="shared" si="10"/>
        <v>601943.1831450098</v>
      </c>
      <c r="AF25" s="128">
        <f t="shared" si="10"/>
        <v>599673.7447021713</v>
      </c>
      <c r="AG25" s="128">
        <f t="shared" si="10"/>
        <v>596909.41734365909</v>
      </c>
      <c r="AH25" s="128">
        <f t="shared" si="10"/>
        <v>593626.00824340864</v>
      </c>
    </row>
    <row r="26" spans="2:34" ht="17.100000000000001" customHeight="1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2:34" x14ac:dyDescent="0.2">
      <c r="B27" s="11"/>
      <c r="C27" s="192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2:34" x14ac:dyDescent="0.2">
      <c r="B28" s="11"/>
      <c r="C28" s="192" t="s">
        <v>623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2:34" x14ac:dyDescent="0.2">
      <c r="B29" s="11"/>
      <c r="C29" s="193" t="str">
        <f>'Sources &amp; Uses'!C9</f>
        <v>First Mortgage</v>
      </c>
      <c r="D29" s="11"/>
      <c r="E29" s="110">
        <f>-'Sources &amp; Uses'!L9</f>
        <v>-532950.18402477866</v>
      </c>
      <c r="F29" s="110">
        <f>-'Sources &amp; Uses'!$L$9</f>
        <v>-532950.18402477866</v>
      </c>
      <c r="G29" s="110">
        <f>-'Sources &amp; Uses'!$L$9</f>
        <v>-532950.18402477866</v>
      </c>
      <c r="H29" s="110">
        <f>-'Sources &amp; Uses'!$L$9</f>
        <v>-532950.18402477866</v>
      </c>
      <c r="I29" s="110">
        <f>-'Sources &amp; Uses'!$L$9</f>
        <v>-532950.18402477866</v>
      </c>
      <c r="J29" s="110">
        <f>-'Sources &amp; Uses'!$L$9</f>
        <v>-532950.18402477866</v>
      </c>
      <c r="K29" s="110">
        <f>-'Sources &amp; Uses'!$L$9</f>
        <v>-532950.18402477866</v>
      </c>
      <c r="L29" s="110">
        <f>-'Sources &amp; Uses'!$L$9</f>
        <v>-532950.18402477866</v>
      </c>
      <c r="M29" s="110">
        <f>-'Sources &amp; Uses'!$L$9</f>
        <v>-532950.18402477866</v>
      </c>
      <c r="N29" s="110">
        <f>-'Sources &amp; Uses'!$L$9</f>
        <v>-532950.18402477866</v>
      </c>
      <c r="O29" s="110">
        <f>-'Sources &amp; Uses'!$L$9</f>
        <v>-532950.18402477866</v>
      </c>
      <c r="P29" s="110">
        <f>-'Sources &amp; Uses'!$L$9</f>
        <v>-532950.18402477866</v>
      </c>
      <c r="Q29" s="110">
        <f>-'Sources &amp; Uses'!$L$9</f>
        <v>-532950.18402477866</v>
      </c>
      <c r="R29" s="110">
        <f>-'Sources &amp; Uses'!$L$9</f>
        <v>-532950.18402477866</v>
      </c>
      <c r="S29" s="110">
        <f>-'Sources &amp; Uses'!$L$9</f>
        <v>-532950.18402477866</v>
      </c>
      <c r="T29" s="110">
        <f>-'Sources &amp; Uses'!$L$9</f>
        <v>-532950.18402477866</v>
      </c>
      <c r="U29" s="110">
        <f>-'Sources &amp; Uses'!$L$9</f>
        <v>-532950.18402477866</v>
      </c>
      <c r="V29" s="110">
        <f>-'Sources &amp; Uses'!$L$9</f>
        <v>-532950.18402477866</v>
      </c>
      <c r="W29" s="110">
        <f>-'Sources &amp; Uses'!$L$9</f>
        <v>-532950.18402477866</v>
      </c>
      <c r="X29" s="110">
        <f>-'Sources &amp; Uses'!$L$9</f>
        <v>-532950.18402477866</v>
      </c>
      <c r="Y29" s="110">
        <f>-'Sources &amp; Uses'!$L$9</f>
        <v>-532950.18402477866</v>
      </c>
      <c r="Z29" s="110">
        <f>-'Sources &amp; Uses'!$L$9</f>
        <v>-532950.18402477866</v>
      </c>
      <c r="AA29" s="110">
        <f>-'Sources &amp; Uses'!$L$9</f>
        <v>-532950.18402477866</v>
      </c>
      <c r="AB29" s="110">
        <f>-'Sources &amp; Uses'!$L$9</f>
        <v>-532950.18402477866</v>
      </c>
      <c r="AC29" s="110">
        <f>-'Sources &amp; Uses'!$L$9</f>
        <v>-532950.18402477866</v>
      </c>
      <c r="AD29" s="110">
        <f>-'Sources &amp; Uses'!$L$9</f>
        <v>-532950.18402477866</v>
      </c>
      <c r="AE29" s="110">
        <f>-'Sources &amp; Uses'!$L$9</f>
        <v>-532950.18402477866</v>
      </c>
      <c r="AF29" s="110">
        <f>-'Sources &amp; Uses'!$L$9</f>
        <v>-532950.18402477866</v>
      </c>
      <c r="AG29" s="110">
        <f>-'Sources &amp; Uses'!$L$9</f>
        <v>-532950.18402477866</v>
      </c>
      <c r="AH29" s="110">
        <f>-'Sources &amp; Uses'!$L$9</f>
        <v>-532950.18402477866</v>
      </c>
    </row>
    <row r="30" spans="2:34" x14ac:dyDescent="0.2">
      <c r="B30" s="11"/>
      <c r="C30" s="193" t="str">
        <f>'Sources &amp; Uses'!C10</f>
        <v>City of Raleigh</v>
      </c>
      <c r="D30" s="11"/>
      <c r="E30" s="110">
        <f>-E44</f>
        <v>-15197.989888264798</v>
      </c>
      <c r="F30" s="110">
        <f t="shared" ref="F30:AH30" si="11">-F44</f>
        <v>-19734.866410004208</v>
      </c>
      <c r="G30" s="110">
        <f t="shared" si="11"/>
        <v>-24162.393505656393</v>
      </c>
      <c r="H30" s="110">
        <f t="shared" si="11"/>
        <v>-28472.089404091239</v>
      </c>
      <c r="I30" s="110">
        <f t="shared" si="11"/>
        <v>-32655.102168320678</v>
      </c>
      <c r="J30" s="110">
        <f t="shared" si="11"/>
        <v>-36702.195808791439</v>
      </c>
      <c r="K30" s="110">
        <f t="shared" si="11"/>
        <v>-40603.735905740177</v>
      </c>
      <c r="L30" s="110">
        <f t="shared" si="11"/>
        <v>-44349.674723653588</v>
      </c>
      <c r="M30" s="110">
        <f t="shared" si="11"/>
        <v>-47929.535800282261</v>
      </c>
      <c r="N30" s="110">
        <f t="shared" si="11"/>
        <v>-51332.397992062382</v>
      </c>
      <c r="O30" s="110">
        <f t="shared" si="11"/>
        <v>-54546.878957168199</v>
      </c>
      <c r="P30" s="110">
        <f t="shared" si="11"/>
        <v>-57561.118056776468</v>
      </c>
      <c r="Q30" s="110">
        <f t="shared" si="11"/>
        <v>-60362.758654451231</v>
      </c>
      <c r="R30" s="110">
        <f t="shared" si="11"/>
        <v>-62938.929792871</v>
      </c>
      <c r="S30" s="110">
        <f t="shared" si="11"/>
        <v>-65276.227226399351</v>
      </c>
      <c r="T30" s="110">
        <f t="shared" si="11"/>
        <v>-67360.693787259865</v>
      </c>
      <c r="U30" s="110">
        <f t="shared" si="11"/>
        <v>-69177.79906231747</v>
      </c>
      <c r="V30" s="110">
        <f t="shared" si="11"/>
        <v>-70712.418356661103</v>
      </c>
      <c r="W30" s="110">
        <f t="shared" si="11"/>
        <v>-71948.81091937935</v>
      </c>
      <c r="X30" s="110">
        <f t="shared" si="11"/>
        <v>-72870.597406054265</v>
      </c>
      <c r="Y30" s="110">
        <f t="shared" si="11"/>
        <v>-73460.736551636481</v>
      </c>
      <c r="Z30" s="110">
        <f t="shared" si="11"/>
        <v>-73701.501026440877</v>
      </c>
      <c r="AA30" s="110">
        <f t="shared" si="11"/>
        <v>-73574.452447072603</v>
      </c>
      <c r="AB30" s="110">
        <f t="shared" si="11"/>
        <v>-73060.415513116517</v>
      </c>
      <c r="AC30" s="110">
        <f t="shared" si="11"/>
        <v>-72139.451239406364</v>
      </c>
      <c r="AD30" s="110">
        <f t="shared" si="11"/>
        <v>-70790.829252669006</v>
      </c>
      <c r="AE30" s="110">
        <f t="shared" si="11"/>
        <v>-68992.999120231136</v>
      </c>
      <c r="AF30" s="110">
        <f t="shared" si="11"/>
        <v>-66723.560677392641</v>
      </c>
      <c r="AG30" s="110">
        <f t="shared" si="11"/>
        <v>-63959.233318880433</v>
      </c>
      <c r="AH30" s="110">
        <f t="shared" si="11"/>
        <v>-60675.824218629976</v>
      </c>
    </row>
    <row r="31" spans="2:34" x14ac:dyDescent="0.2">
      <c r="B31" s="11"/>
      <c r="C31" s="193" t="str">
        <f>'Sources &amp; Uses'!C11</f>
        <v>DHIC Loan</v>
      </c>
      <c r="D31" s="11"/>
      <c r="E31" s="110">
        <f>-'Sources &amp; Uses'!M11</f>
        <v>0</v>
      </c>
      <c r="F31" s="110">
        <f>-'Sources &amp; Uses'!N11</f>
        <v>0</v>
      </c>
      <c r="G31" s="110">
        <f>-'Sources &amp; Uses'!O11</f>
        <v>0</v>
      </c>
      <c r="H31" s="110">
        <f>-'Sources &amp; Uses'!P11</f>
        <v>0</v>
      </c>
      <c r="I31" s="110">
        <f>-'Sources &amp; Uses'!Q11</f>
        <v>0</v>
      </c>
      <c r="J31" s="110">
        <f>-'Sources &amp; Uses'!R11</f>
        <v>0</v>
      </c>
      <c r="K31" s="110">
        <f>-'Sources &amp; Uses'!S11</f>
        <v>0</v>
      </c>
      <c r="L31" s="110">
        <f>-'Sources &amp; Uses'!T11</f>
        <v>0</v>
      </c>
      <c r="M31" s="110">
        <f>-'Sources &amp; Uses'!U11</f>
        <v>0</v>
      </c>
      <c r="N31" s="110">
        <f>-'Sources &amp; Uses'!V11</f>
        <v>0</v>
      </c>
      <c r="O31" s="110">
        <f>-'Sources &amp; Uses'!W11</f>
        <v>0</v>
      </c>
      <c r="P31" s="110">
        <f>-'Sources &amp; Uses'!X11</f>
        <v>0</v>
      </c>
      <c r="Q31" s="110">
        <f>-'Sources &amp; Uses'!Y11</f>
        <v>0</v>
      </c>
      <c r="R31" s="110">
        <f>-'Sources &amp; Uses'!Z11</f>
        <v>0</v>
      </c>
      <c r="S31" s="110">
        <f>-'Sources &amp; Uses'!AA11</f>
        <v>0</v>
      </c>
      <c r="T31" s="110">
        <f>-'Sources &amp; Uses'!AB11</f>
        <v>0</v>
      </c>
      <c r="U31" s="110">
        <f>-'Sources &amp; Uses'!AC11</f>
        <v>0</v>
      </c>
      <c r="V31" s="110">
        <f>-'Sources &amp; Uses'!AD11</f>
        <v>0</v>
      </c>
      <c r="W31" s="110">
        <f>-'Sources &amp; Uses'!AE11</f>
        <v>0</v>
      </c>
      <c r="X31" s="110">
        <f>-'Sources &amp; Uses'!AF11</f>
        <v>0</v>
      </c>
      <c r="Y31" s="110">
        <f>-'Sources &amp; Uses'!AG11</f>
        <v>0</v>
      </c>
      <c r="Z31" s="110">
        <f>-'Sources &amp; Uses'!AH11</f>
        <v>0</v>
      </c>
      <c r="AA31" s="110">
        <f>-'Sources &amp; Uses'!AI11</f>
        <v>0</v>
      </c>
      <c r="AB31" s="110">
        <f>-'Sources &amp; Uses'!AJ11</f>
        <v>0</v>
      </c>
      <c r="AC31" s="110">
        <f>-'Sources &amp; Uses'!AK11</f>
        <v>0</v>
      </c>
      <c r="AD31" s="110">
        <f>-'Sources &amp; Uses'!AL11</f>
        <v>0</v>
      </c>
      <c r="AE31" s="110">
        <f>-'Sources &amp; Uses'!AM11</f>
        <v>0</v>
      </c>
      <c r="AF31" s="110">
        <f>-'Sources &amp; Uses'!AN11</f>
        <v>0</v>
      </c>
      <c r="AG31" s="110">
        <f>-'Sources &amp; Uses'!AO11</f>
        <v>0</v>
      </c>
      <c r="AH31" s="110">
        <f>-'Sources &amp; Uses'!AP11</f>
        <v>0</v>
      </c>
    </row>
    <row r="32" spans="2:34" x14ac:dyDescent="0.25">
      <c r="B32" s="11"/>
      <c r="C32" s="268" t="str">
        <f>'Sources &amp; Uses'!C12</f>
        <v>Wake County Loan</v>
      </c>
      <c r="D32" s="120"/>
      <c r="E32" s="110">
        <f>+-E45</f>
        <v>0</v>
      </c>
      <c r="F32" s="110">
        <f t="shared" ref="F32:AH32" si="12">+-F45</f>
        <v>0</v>
      </c>
      <c r="G32" s="110">
        <f t="shared" si="12"/>
        <v>0</v>
      </c>
      <c r="H32" s="110">
        <f t="shared" si="12"/>
        <v>0</v>
      </c>
      <c r="I32" s="110">
        <f t="shared" si="12"/>
        <v>0</v>
      </c>
      <c r="J32" s="110">
        <f t="shared" si="12"/>
        <v>0</v>
      </c>
      <c r="K32" s="110">
        <f t="shared" si="12"/>
        <v>0</v>
      </c>
      <c r="L32" s="110">
        <f t="shared" si="12"/>
        <v>0</v>
      </c>
      <c r="M32" s="110">
        <f t="shared" si="12"/>
        <v>0</v>
      </c>
      <c r="N32" s="110">
        <f t="shared" si="12"/>
        <v>0</v>
      </c>
      <c r="O32" s="110">
        <f t="shared" si="12"/>
        <v>0</v>
      </c>
      <c r="P32" s="110">
        <f t="shared" si="12"/>
        <v>0</v>
      </c>
      <c r="Q32" s="110">
        <f t="shared" si="12"/>
        <v>0</v>
      </c>
      <c r="R32" s="110">
        <f t="shared" si="12"/>
        <v>0</v>
      </c>
      <c r="S32" s="110">
        <f t="shared" si="12"/>
        <v>0</v>
      </c>
      <c r="T32" s="110">
        <f t="shared" si="12"/>
        <v>0</v>
      </c>
      <c r="U32" s="110">
        <f t="shared" si="12"/>
        <v>0</v>
      </c>
      <c r="V32" s="110">
        <f t="shared" si="12"/>
        <v>0</v>
      </c>
      <c r="W32" s="110">
        <f t="shared" si="12"/>
        <v>0</v>
      </c>
      <c r="X32" s="110">
        <f t="shared" si="12"/>
        <v>0</v>
      </c>
      <c r="Y32" s="110">
        <f t="shared" si="12"/>
        <v>0</v>
      </c>
      <c r="Z32" s="110">
        <f t="shared" si="12"/>
        <v>0</v>
      </c>
      <c r="AA32" s="110">
        <f t="shared" si="12"/>
        <v>0</v>
      </c>
      <c r="AB32" s="110">
        <f t="shared" si="12"/>
        <v>0</v>
      </c>
      <c r="AC32" s="110">
        <f t="shared" si="12"/>
        <v>0</v>
      </c>
      <c r="AD32" s="110">
        <f t="shared" si="12"/>
        <v>0</v>
      </c>
      <c r="AE32" s="110">
        <f t="shared" si="12"/>
        <v>0</v>
      </c>
      <c r="AF32" s="110">
        <f t="shared" si="12"/>
        <v>0</v>
      </c>
      <c r="AG32" s="110">
        <f t="shared" si="12"/>
        <v>0</v>
      </c>
      <c r="AH32" s="110">
        <f t="shared" si="12"/>
        <v>0</v>
      </c>
    </row>
    <row r="33" spans="2:37" x14ac:dyDescent="0.2">
      <c r="B33" s="11"/>
      <c r="C33" s="255" t="s">
        <v>692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</row>
    <row r="34" spans="2:37" x14ac:dyDescent="0.25">
      <c r="B34" s="11"/>
      <c r="C34" s="55"/>
      <c r="D34" s="55"/>
      <c r="E34" s="186">
        <f>SUM(E29:E33)</f>
        <v>-548148.17391304346</v>
      </c>
      <c r="F34" s="186">
        <f t="shared" ref="F34:AH34" si="13">SUM(F29:F32)</f>
        <v>-552685.05043478287</v>
      </c>
      <c r="G34" s="186">
        <f t="shared" si="13"/>
        <v>-557112.57753043505</v>
      </c>
      <c r="H34" s="186">
        <f t="shared" si="13"/>
        <v>-561422.2734288699</v>
      </c>
      <c r="I34" s="186">
        <f t="shared" si="13"/>
        <v>-565605.28619309934</v>
      </c>
      <c r="J34" s="186">
        <f t="shared" si="13"/>
        <v>-569652.3798335701</v>
      </c>
      <c r="K34" s="186">
        <f t="shared" si="13"/>
        <v>-573553.91993051884</v>
      </c>
      <c r="L34" s="186">
        <f t="shared" si="13"/>
        <v>-577299.85874843225</v>
      </c>
      <c r="M34" s="186">
        <f t="shared" si="13"/>
        <v>-580879.71982506092</v>
      </c>
      <c r="N34" s="186">
        <f t="shared" si="13"/>
        <v>-584282.58201684104</v>
      </c>
      <c r="O34" s="186">
        <f t="shared" si="13"/>
        <v>-587497.06298194686</v>
      </c>
      <c r="P34" s="186">
        <f t="shared" si="13"/>
        <v>-590511.30208155513</v>
      </c>
      <c r="Q34" s="186">
        <f t="shared" si="13"/>
        <v>-593312.94267922989</v>
      </c>
      <c r="R34" s="186">
        <f t="shared" si="13"/>
        <v>-595889.11381764966</v>
      </c>
      <c r="S34" s="186">
        <f t="shared" si="13"/>
        <v>-598226.41125117801</v>
      </c>
      <c r="T34" s="186">
        <f t="shared" si="13"/>
        <v>-600310.87781203853</v>
      </c>
      <c r="U34" s="186">
        <f t="shared" si="13"/>
        <v>-602127.98308709613</v>
      </c>
      <c r="V34" s="186">
        <f t="shared" si="13"/>
        <v>-603662.60238143976</v>
      </c>
      <c r="W34" s="186">
        <f t="shared" si="13"/>
        <v>-604898.99494415801</v>
      </c>
      <c r="X34" s="186">
        <f t="shared" si="13"/>
        <v>-605820.78143083293</v>
      </c>
      <c r="Y34" s="186">
        <f t="shared" si="13"/>
        <v>-606410.92057641514</v>
      </c>
      <c r="Z34" s="186">
        <f t="shared" si="13"/>
        <v>-606651.68505121954</v>
      </c>
      <c r="AA34" s="186">
        <f t="shared" si="13"/>
        <v>-606524.63647185126</v>
      </c>
      <c r="AB34" s="186">
        <f t="shared" si="13"/>
        <v>-606010.59953789518</v>
      </c>
      <c r="AC34" s="186">
        <f t="shared" si="13"/>
        <v>-605089.63526418502</v>
      </c>
      <c r="AD34" s="186">
        <f t="shared" si="13"/>
        <v>-603741.01327744767</v>
      </c>
      <c r="AE34" s="186">
        <f t="shared" si="13"/>
        <v>-601943.1831450098</v>
      </c>
      <c r="AF34" s="186">
        <f t="shared" si="13"/>
        <v>-599673.7447021713</v>
      </c>
      <c r="AG34" s="186">
        <f t="shared" si="13"/>
        <v>-596909.41734365909</v>
      </c>
      <c r="AH34" s="186">
        <f t="shared" si="13"/>
        <v>-593626.00824340864</v>
      </c>
    </row>
    <row r="35" spans="2:37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2:37" x14ac:dyDescent="0.25">
      <c r="B36" s="11"/>
      <c r="C36" s="182" t="s">
        <v>678</v>
      </c>
      <c r="D36" s="182"/>
      <c r="E36" s="123">
        <f>E20+E34</f>
        <v>82222.226086956449</v>
      </c>
      <c r="F36" s="123">
        <f t="shared" ref="F36:AH36" si="14">F20+F34</f>
        <v>82902.757565217325</v>
      </c>
      <c r="G36" s="123">
        <f t="shared" si="14"/>
        <v>83566.886629565153</v>
      </c>
      <c r="H36" s="123">
        <f t="shared" si="14"/>
        <v>84213.341014330392</v>
      </c>
      <c r="I36" s="123">
        <f t="shared" si="14"/>
        <v>84840.792928964831</v>
      </c>
      <c r="J36" s="123">
        <f t="shared" si="14"/>
        <v>85447.856975035509</v>
      </c>
      <c r="K36" s="123">
        <f t="shared" si="14"/>
        <v>86033.087989577791</v>
      </c>
      <c r="L36" s="123">
        <f t="shared" si="14"/>
        <v>86594.978812264744</v>
      </c>
      <c r="M36" s="123">
        <f t="shared" si="14"/>
        <v>87131.957973759039</v>
      </c>
      <c r="N36" s="123">
        <f t="shared" si="14"/>
        <v>87642.387302526156</v>
      </c>
      <c r="O36" s="123">
        <f t="shared" si="14"/>
        <v>88124.559447292006</v>
      </c>
      <c r="P36" s="123">
        <f t="shared" si="14"/>
        <v>88576.695312233176</v>
      </c>
      <c r="Q36" s="123">
        <f t="shared" si="14"/>
        <v>88996.941401884425</v>
      </c>
      <c r="R36" s="123">
        <f t="shared" si="14"/>
        <v>89383.367072647437</v>
      </c>
      <c r="S36" s="123">
        <f t="shared" si="14"/>
        <v>89733.961687676609</v>
      </c>
      <c r="T36" s="123">
        <f t="shared" si="14"/>
        <v>90046.63167180575</v>
      </c>
      <c r="U36" s="123">
        <f t="shared" si="14"/>
        <v>90319.197463064338</v>
      </c>
      <c r="V36" s="123">
        <f t="shared" si="14"/>
        <v>90549.390357215889</v>
      </c>
      <c r="W36" s="123">
        <f t="shared" si="14"/>
        <v>90734.849241623655</v>
      </c>
      <c r="X36" s="123">
        <f t="shared" si="14"/>
        <v>90873.117214624886</v>
      </c>
      <c r="Y36" s="123">
        <f t="shared" si="14"/>
        <v>90961.638086462277</v>
      </c>
      <c r="Z36" s="123">
        <f t="shared" si="14"/>
        <v>90997.752757682931</v>
      </c>
      <c r="AA36" s="123">
        <f t="shared" si="14"/>
        <v>90978.695470777573</v>
      </c>
      <c r="AB36" s="123">
        <f t="shared" si="14"/>
        <v>90901.589930684189</v>
      </c>
      <c r="AC36" s="123">
        <f t="shared" si="14"/>
        <v>90763.445289627649</v>
      </c>
      <c r="AD36" s="123">
        <f t="shared" si="14"/>
        <v>90561.151991617051</v>
      </c>
      <c r="AE36" s="123">
        <f t="shared" si="14"/>
        <v>90291.477471751394</v>
      </c>
      <c r="AF36" s="123">
        <f t="shared" si="14"/>
        <v>89951.061705325614</v>
      </c>
      <c r="AG36" s="123">
        <f t="shared" si="14"/>
        <v>89536.412601548829</v>
      </c>
      <c r="AH36" s="123">
        <f t="shared" si="14"/>
        <v>89043.901236511301</v>
      </c>
    </row>
    <row r="37" spans="2:37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2:37" x14ac:dyDescent="0.25">
      <c r="B38" s="11"/>
      <c r="C38" s="23" t="s">
        <v>679</v>
      </c>
      <c r="D38" s="23"/>
      <c r="E38" s="194">
        <f t="shared" ref="E38:AH38" si="15">E20/-E29</f>
        <v>1.182794225230424</v>
      </c>
      <c r="F38" s="194">
        <f t="shared" si="15"/>
        <v>1.1925838981799648</v>
      </c>
      <c r="G38" s="194">
        <f t="shared" si="15"/>
        <v>1.2021376169188316</v>
      </c>
      <c r="H38" s="194">
        <f t="shared" si="15"/>
        <v>1.2114370794798008</v>
      </c>
      <c r="I38" s="194">
        <f t="shared" si="15"/>
        <v>1.2204631851516965</v>
      </c>
      <c r="J38" s="194">
        <f t="shared" si="15"/>
        <v>1.2291960045146504</v>
      </c>
      <c r="K38" s="194">
        <f t="shared" si="15"/>
        <v>1.2376147484160174</v>
      </c>
      <c r="L38" s="194">
        <f t="shared" si="15"/>
        <v>1.2456977358503554</v>
      </c>
      <c r="M38" s="194">
        <f t="shared" si="15"/>
        <v>1.2534223607055961</v>
      </c>
      <c r="N38" s="194">
        <f t="shared" si="15"/>
        <v>1.2607650573362541</v>
      </c>
      <c r="O38" s="194">
        <f t="shared" si="15"/>
        <v>1.2677012649231525</v>
      </c>
      <c r="P38" s="194">
        <f t="shared" si="15"/>
        <v>1.2742053905777715</v>
      </c>
      <c r="Q38" s="194">
        <f t="shared" si="15"/>
        <v>1.2802507711478555</v>
      </c>
      <c r="R38" s="194">
        <f t="shared" si="15"/>
        <v>1.2858096336794518</v>
      </c>
      <c r="S38" s="194">
        <f t="shared" si="15"/>
        <v>1.2908530544889896</v>
      </c>
      <c r="T38" s="194">
        <f t="shared" si="15"/>
        <v>1.2953509167974078</v>
      </c>
      <c r="U38" s="194">
        <f t="shared" si="15"/>
        <v>1.2992718668767103</v>
      </c>
      <c r="V38" s="194">
        <f t="shared" si="15"/>
        <v>1.3025832686575813</v>
      </c>
      <c r="W38" s="194">
        <f t="shared" si="15"/>
        <v>1.3052511567449601</v>
      </c>
      <c r="X38" s="194">
        <f t="shared" si="15"/>
        <v>1.3072401877866058</v>
      </c>
      <c r="Y38" s="194">
        <f t="shared" si="15"/>
        <v>1.3085135901378246</v>
      </c>
      <c r="Z38" s="194">
        <f t="shared" si="15"/>
        <v>1.309033111763531</v>
      </c>
      <c r="AA38" s="194">
        <f t="shared" si="15"/>
        <v>1.3087589663168209</v>
      </c>
      <c r="AB38" s="194">
        <f t="shared" si="15"/>
        <v>1.3076497773311164</v>
      </c>
      <c r="AC38" s="194">
        <f t="shared" si="15"/>
        <v>1.3056625204607493</v>
      </c>
      <c r="AD38" s="194">
        <f t="shared" si="15"/>
        <v>1.3027524637026568</v>
      </c>
      <c r="AE38" s="194">
        <f t="shared" si="15"/>
        <v>1.2988731055294596</v>
      </c>
      <c r="AF38" s="194">
        <f t="shared" si="15"/>
        <v>1.2939761108618624</v>
      </c>
      <c r="AG38" s="194">
        <f t="shared" si="15"/>
        <v>1.2880112448057486</v>
      </c>
      <c r="AH38" s="194">
        <f t="shared" si="15"/>
        <v>1.2809263040768184</v>
      </c>
    </row>
    <row r="39" spans="2:37" x14ac:dyDescent="0.25">
      <c r="B39" s="11"/>
      <c r="C39" s="23" t="s">
        <v>680</v>
      </c>
      <c r="D39" s="23"/>
      <c r="E39" s="194">
        <f t="shared" ref="E39:AH39" si="16">E20/-E34</f>
        <v>1.1499999999999999</v>
      </c>
      <c r="F39" s="194">
        <f t="shared" si="16"/>
        <v>1.1499999999999999</v>
      </c>
      <c r="G39" s="194">
        <f t="shared" si="16"/>
        <v>1.1499999999999999</v>
      </c>
      <c r="H39" s="194">
        <f t="shared" si="16"/>
        <v>1.1499999999999999</v>
      </c>
      <c r="I39" s="194">
        <f t="shared" si="16"/>
        <v>1.1499999999999999</v>
      </c>
      <c r="J39" s="194">
        <f t="shared" si="16"/>
        <v>1.1499999999999999</v>
      </c>
      <c r="K39" s="194">
        <f t="shared" si="16"/>
        <v>1.1499999999999999</v>
      </c>
      <c r="L39" s="194">
        <f t="shared" si="16"/>
        <v>1.1499999999999999</v>
      </c>
      <c r="M39" s="194">
        <f t="shared" si="16"/>
        <v>1.1499999999999999</v>
      </c>
      <c r="N39" s="194">
        <f t="shared" si="16"/>
        <v>1.1499999999999999</v>
      </c>
      <c r="O39" s="194">
        <f t="shared" si="16"/>
        <v>1.1499999999999999</v>
      </c>
      <c r="P39" s="194">
        <f t="shared" si="16"/>
        <v>1.1499999999999999</v>
      </c>
      <c r="Q39" s="194">
        <f t="shared" si="16"/>
        <v>1.1499999999999999</v>
      </c>
      <c r="R39" s="194">
        <f t="shared" si="16"/>
        <v>1.1499999999999999</v>
      </c>
      <c r="S39" s="194">
        <f t="shared" si="16"/>
        <v>1.1499999999999999</v>
      </c>
      <c r="T39" s="194">
        <f t="shared" si="16"/>
        <v>1.1499999999999999</v>
      </c>
      <c r="U39" s="194">
        <f t="shared" si="16"/>
        <v>1.1499999999999999</v>
      </c>
      <c r="V39" s="194">
        <f t="shared" si="16"/>
        <v>1.1499999999999999</v>
      </c>
      <c r="W39" s="194">
        <f t="shared" si="16"/>
        <v>1.1499999999999999</v>
      </c>
      <c r="X39" s="194">
        <f t="shared" si="16"/>
        <v>1.1499999999999999</v>
      </c>
      <c r="Y39" s="194">
        <f t="shared" si="16"/>
        <v>1.1499999999999999</v>
      </c>
      <c r="Z39" s="194">
        <f t="shared" si="16"/>
        <v>1.1499999999999999</v>
      </c>
      <c r="AA39" s="194">
        <f t="shared" si="16"/>
        <v>1.1499999999999999</v>
      </c>
      <c r="AB39" s="194">
        <f t="shared" si="16"/>
        <v>1.1499999999999999</v>
      </c>
      <c r="AC39" s="194">
        <f t="shared" si="16"/>
        <v>1.1499999999999999</v>
      </c>
      <c r="AD39" s="194">
        <f t="shared" si="16"/>
        <v>1.1499999999999999</v>
      </c>
      <c r="AE39" s="194">
        <f t="shared" si="16"/>
        <v>1.1499999999999999</v>
      </c>
      <c r="AF39" s="194">
        <f t="shared" si="16"/>
        <v>1.1499999999999999</v>
      </c>
      <c r="AG39" s="194">
        <f t="shared" si="16"/>
        <v>1.1499999999999999</v>
      </c>
      <c r="AH39" s="194">
        <f t="shared" si="16"/>
        <v>1.1499999999999999</v>
      </c>
    </row>
    <row r="40" spans="2:37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2:37" x14ac:dyDescent="0.25">
      <c r="B41" s="11"/>
      <c r="C41" s="269" t="s">
        <v>712</v>
      </c>
      <c r="E41" s="267">
        <f>+E25</f>
        <v>548148.17391304346</v>
      </c>
      <c r="F41" s="267">
        <f t="shared" ref="F41:AH41" si="17">+F25</f>
        <v>552685.05043478287</v>
      </c>
      <c r="G41" s="267">
        <f t="shared" si="17"/>
        <v>557112.57753043505</v>
      </c>
      <c r="H41" s="267">
        <f t="shared" si="17"/>
        <v>561422.2734288699</v>
      </c>
      <c r="I41" s="267">
        <f t="shared" si="17"/>
        <v>565605.28619309934</v>
      </c>
      <c r="J41" s="267">
        <f t="shared" si="17"/>
        <v>569652.3798335701</v>
      </c>
      <c r="K41" s="267">
        <f t="shared" si="17"/>
        <v>573553.91993051884</v>
      </c>
      <c r="L41" s="267">
        <f t="shared" si="17"/>
        <v>577299.85874843225</v>
      </c>
      <c r="M41" s="267">
        <f t="shared" si="17"/>
        <v>580879.71982506092</v>
      </c>
      <c r="N41" s="267">
        <f t="shared" si="17"/>
        <v>584282.58201684104</v>
      </c>
      <c r="O41" s="267">
        <f t="shared" si="17"/>
        <v>587497.06298194686</v>
      </c>
      <c r="P41" s="267">
        <f t="shared" si="17"/>
        <v>590511.30208155513</v>
      </c>
      <c r="Q41" s="267">
        <f t="shared" si="17"/>
        <v>593312.94267922989</v>
      </c>
      <c r="R41" s="267">
        <f t="shared" si="17"/>
        <v>595889.11381764966</v>
      </c>
      <c r="S41" s="267">
        <f t="shared" si="17"/>
        <v>598226.41125117801</v>
      </c>
      <c r="T41" s="267">
        <f t="shared" si="17"/>
        <v>600310.87781203853</v>
      </c>
      <c r="U41" s="267">
        <f t="shared" si="17"/>
        <v>602127.98308709613</v>
      </c>
      <c r="V41" s="267">
        <f t="shared" si="17"/>
        <v>603662.60238143976</v>
      </c>
      <c r="W41" s="267">
        <f t="shared" si="17"/>
        <v>604898.99494415801</v>
      </c>
      <c r="X41" s="267">
        <f t="shared" si="17"/>
        <v>605820.78143083293</v>
      </c>
      <c r="Y41" s="267">
        <f t="shared" si="17"/>
        <v>606410.92057641514</v>
      </c>
      <c r="Z41" s="267">
        <f t="shared" si="17"/>
        <v>606651.68505121954</v>
      </c>
      <c r="AA41" s="267">
        <f t="shared" si="17"/>
        <v>606524.63647185126</v>
      </c>
      <c r="AB41" s="267">
        <f t="shared" si="17"/>
        <v>606010.59953789518</v>
      </c>
      <c r="AC41" s="267">
        <f t="shared" si="17"/>
        <v>605089.63526418502</v>
      </c>
      <c r="AD41" s="267">
        <f t="shared" si="17"/>
        <v>603741.01327744767</v>
      </c>
      <c r="AE41" s="267">
        <f t="shared" si="17"/>
        <v>601943.1831450098</v>
      </c>
      <c r="AF41" s="267">
        <f t="shared" si="17"/>
        <v>599673.7447021713</v>
      </c>
      <c r="AG41" s="267">
        <f t="shared" si="17"/>
        <v>596909.41734365909</v>
      </c>
      <c r="AH41" s="267">
        <f t="shared" si="17"/>
        <v>593626.00824340864</v>
      </c>
      <c r="AK41" t="s">
        <v>729</v>
      </c>
    </row>
    <row r="42" spans="2:37" x14ac:dyDescent="0.25">
      <c r="B42" s="11"/>
      <c r="C42" t="s">
        <v>713</v>
      </c>
      <c r="E42" s="267">
        <f>+E29</f>
        <v>-532950.18402477866</v>
      </c>
      <c r="F42" s="267">
        <f t="shared" ref="F42:AH42" si="18">+F29</f>
        <v>-532950.18402477866</v>
      </c>
      <c r="G42" s="267">
        <f t="shared" si="18"/>
        <v>-532950.18402477866</v>
      </c>
      <c r="H42" s="267">
        <f t="shared" si="18"/>
        <v>-532950.18402477866</v>
      </c>
      <c r="I42" s="267">
        <f t="shared" si="18"/>
        <v>-532950.18402477866</v>
      </c>
      <c r="J42" s="267">
        <f t="shared" si="18"/>
        <v>-532950.18402477866</v>
      </c>
      <c r="K42" s="267">
        <f t="shared" si="18"/>
        <v>-532950.18402477866</v>
      </c>
      <c r="L42" s="267">
        <f t="shared" si="18"/>
        <v>-532950.18402477866</v>
      </c>
      <c r="M42" s="267">
        <f t="shared" si="18"/>
        <v>-532950.18402477866</v>
      </c>
      <c r="N42" s="267">
        <f t="shared" si="18"/>
        <v>-532950.18402477866</v>
      </c>
      <c r="O42" s="267">
        <f t="shared" si="18"/>
        <v>-532950.18402477866</v>
      </c>
      <c r="P42" s="267">
        <f t="shared" si="18"/>
        <v>-532950.18402477866</v>
      </c>
      <c r="Q42" s="267">
        <f t="shared" si="18"/>
        <v>-532950.18402477866</v>
      </c>
      <c r="R42" s="267">
        <f t="shared" si="18"/>
        <v>-532950.18402477866</v>
      </c>
      <c r="S42" s="267">
        <f t="shared" si="18"/>
        <v>-532950.18402477866</v>
      </c>
      <c r="T42" s="267">
        <f t="shared" si="18"/>
        <v>-532950.18402477866</v>
      </c>
      <c r="U42" s="267">
        <f t="shared" si="18"/>
        <v>-532950.18402477866</v>
      </c>
      <c r="V42" s="267">
        <f t="shared" si="18"/>
        <v>-532950.18402477866</v>
      </c>
      <c r="W42" s="267">
        <f t="shared" si="18"/>
        <v>-532950.18402477866</v>
      </c>
      <c r="X42" s="267">
        <f t="shared" si="18"/>
        <v>-532950.18402477866</v>
      </c>
      <c r="Y42" s="267">
        <f t="shared" si="18"/>
        <v>-532950.18402477866</v>
      </c>
      <c r="Z42" s="267">
        <f t="shared" si="18"/>
        <v>-532950.18402477866</v>
      </c>
      <c r="AA42" s="267">
        <f t="shared" si="18"/>
        <v>-532950.18402477866</v>
      </c>
      <c r="AB42" s="267">
        <f t="shared" si="18"/>
        <v>-532950.18402477866</v>
      </c>
      <c r="AC42" s="267">
        <f t="shared" si="18"/>
        <v>-532950.18402477866</v>
      </c>
      <c r="AD42" s="267">
        <f t="shared" si="18"/>
        <v>-532950.18402477866</v>
      </c>
      <c r="AE42" s="267">
        <f t="shared" si="18"/>
        <v>-532950.18402477866</v>
      </c>
      <c r="AF42" s="267">
        <f t="shared" si="18"/>
        <v>-532950.18402477866</v>
      </c>
      <c r="AG42" s="267">
        <f t="shared" si="18"/>
        <v>-532950.18402477866</v>
      </c>
      <c r="AH42" s="267">
        <f t="shared" si="18"/>
        <v>-532950.18402477866</v>
      </c>
    </row>
    <row r="43" spans="2:37" x14ac:dyDescent="0.25">
      <c r="B43" s="11"/>
      <c r="C43" t="s">
        <v>714</v>
      </c>
      <c r="E43" s="267">
        <f>+E41+E42</f>
        <v>15197.989888264798</v>
      </c>
      <c r="F43" s="267">
        <f t="shared" ref="F43:AH43" si="19">+F41+F42</f>
        <v>19734.866410004208</v>
      </c>
      <c r="G43" s="267">
        <f t="shared" si="19"/>
        <v>24162.393505656393</v>
      </c>
      <c r="H43" s="267">
        <f t="shared" si="19"/>
        <v>28472.089404091239</v>
      </c>
      <c r="I43" s="267">
        <f t="shared" si="19"/>
        <v>32655.102168320678</v>
      </c>
      <c r="J43" s="267">
        <f t="shared" si="19"/>
        <v>36702.195808791439</v>
      </c>
      <c r="K43" s="267">
        <f t="shared" si="19"/>
        <v>40603.735905740177</v>
      </c>
      <c r="L43" s="267">
        <f t="shared" si="19"/>
        <v>44349.674723653588</v>
      </c>
      <c r="M43" s="267">
        <f t="shared" si="19"/>
        <v>47929.535800282261</v>
      </c>
      <c r="N43" s="267">
        <f t="shared" si="19"/>
        <v>51332.397992062382</v>
      </c>
      <c r="O43" s="267">
        <f t="shared" si="19"/>
        <v>54546.878957168199</v>
      </c>
      <c r="P43" s="267">
        <f t="shared" si="19"/>
        <v>57561.118056776468</v>
      </c>
      <c r="Q43" s="267">
        <f t="shared" si="19"/>
        <v>60362.758654451231</v>
      </c>
      <c r="R43" s="267">
        <f t="shared" si="19"/>
        <v>62938.929792871</v>
      </c>
      <c r="S43" s="267">
        <f t="shared" si="19"/>
        <v>65276.227226399351</v>
      </c>
      <c r="T43" s="267">
        <f t="shared" si="19"/>
        <v>67360.693787259865</v>
      </c>
      <c r="U43" s="267">
        <f t="shared" si="19"/>
        <v>69177.79906231747</v>
      </c>
      <c r="V43" s="267">
        <f t="shared" si="19"/>
        <v>70712.418356661103</v>
      </c>
      <c r="W43" s="267">
        <f t="shared" si="19"/>
        <v>71948.81091937935</v>
      </c>
      <c r="X43" s="267">
        <f t="shared" si="19"/>
        <v>72870.597406054265</v>
      </c>
      <c r="Y43" s="267">
        <f t="shared" si="19"/>
        <v>73460.736551636481</v>
      </c>
      <c r="Z43" s="267">
        <f t="shared" si="19"/>
        <v>73701.501026440877</v>
      </c>
      <c r="AA43" s="267">
        <f t="shared" si="19"/>
        <v>73574.452447072603</v>
      </c>
      <c r="AB43" s="267">
        <f t="shared" si="19"/>
        <v>73060.415513116517</v>
      </c>
      <c r="AC43" s="267">
        <f t="shared" si="19"/>
        <v>72139.451239406364</v>
      </c>
      <c r="AD43" s="267">
        <f t="shared" si="19"/>
        <v>70790.829252669006</v>
      </c>
      <c r="AE43" s="267">
        <f t="shared" si="19"/>
        <v>68992.999120231136</v>
      </c>
      <c r="AF43" s="267">
        <f t="shared" si="19"/>
        <v>66723.560677392641</v>
      </c>
      <c r="AG43" s="267">
        <f t="shared" si="19"/>
        <v>63959.233318880433</v>
      </c>
      <c r="AH43" s="267">
        <f t="shared" si="19"/>
        <v>60675.824218629976</v>
      </c>
    </row>
    <row r="44" spans="2:37" x14ac:dyDescent="0.25">
      <c r="B44" s="277">
        <f>+D44/(D44+D45)</f>
        <v>1</v>
      </c>
      <c r="C44" t="s">
        <v>724</v>
      </c>
      <c r="D44" s="267">
        <f>+'Sources &amp; Uses'!E10</f>
        <v>7000000</v>
      </c>
      <c r="E44" s="267">
        <f>+E43*$B$44</f>
        <v>15197.989888264798</v>
      </c>
      <c r="F44" s="267">
        <f t="shared" ref="F44:AH44" si="20">+F43*$B$44</f>
        <v>19734.866410004208</v>
      </c>
      <c r="G44" s="267">
        <f t="shared" si="20"/>
        <v>24162.393505656393</v>
      </c>
      <c r="H44" s="267">
        <f t="shared" si="20"/>
        <v>28472.089404091239</v>
      </c>
      <c r="I44" s="267">
        <f t="shared" si="20"/>
        <v>32655.102168320678</v>
      </c>
      <c r="J44" s="267">
        <f t="shared" si="20"/>
        <v>36702.195808791439</v>
      </c>
      <c r="K44" s="267">
        <f t="shared" si="20"/>
        <v>40603.735905740177</v>
      </c>
      <c r="L44" s="267">
        <f t="shared" si="20"/>
        <v>44349.674723653588</v>
      </c>
      <c r="M44" s="267">
        <f t="shared" si="20"/>
        <v>47929.535800282261</v>
      </c>
      <c r="N44" s="267">
        <f t="shared" si="20"/>
        <v>51332.397992062382</v>
      </c>
      <c r="O44" s="267">
        <f t="shared" si="20"/>
        <v>54546.878957168199</v>
      </c>
      <c r="P44" s="267">
        <f t="shared" si="20"/>
        <v>57561.118056776468</v>
      </c>
      <c r="Q44" s="267">
        <f t="shared" si="20"/>
        <v>60362.758654451231</v>
      </c>
      <c r="R44" s="267">
        <f t="shared" si="20"/>
        <v>62938.929792871</v>
      </c>
      <c r="S44" s="267">
        <f t="shared" si="20"/>
        <v>65276.227226399351</v>
      </c>
      <c r="T44" s="267">
        <f t="shared" si="20"/>
        <v>67360.693787259865</v>
      </c>
      <c r="U44" s="267">
        <f t="shared" si="20"/>
        <v>69177.79906231747</v>
      </c>
      <c r="V44" s="267">
        <f t="shared" si="20"/>
        <v>70712.418356661103</v>
      </c>
      <c r="W44" s="267">
        <f t="shared" si="20"/>
        <v>71948.81091937935</v>
      </c>
      <c r="X44" s="267">
        <f t="shared" si="20"/>
        <v>72870.597406054265</v>
      </c>
      <c r="Y44" s="267">
        <f t="shared" si="20"/>
        <v>73460.736551636481</v>
      </c>
      <c r="Z44" s="267">
        <f t="shared" si="20"/>
        <v>73701.501026440877</v>
      </c>
      <c r="AA44" s="267">
        <f t="shared" si="20"/>
        <v>73574.452447072603</v>
      </c>
      <c r="AB44" s="267">
        <f t="shared" si="20"/>
        <v>73060.415513116517</v>
      </c>
      <c r="AC44" s="267">
        <f t="shared" si="20"/>
        <v>72139.451239406364</v>
      </c>
      <c r="AD44" s="267">
        <f t="shared" si="20"/>
        <v>70790.829252669006</v>
      </c>
      <c r="AE44" s="267">
        <f t="shared" si="20"/>
        <v>68992.999120231136</v>
      </c>
      <c r="AF44" s="267">
        <f t="shared" si="20"/>
        <v>66723.560677392641</v>
      </c>
      <c r="AG44" s="267">
        <f t="shared" si="20"/>
        <v>63959.233318880433</v>
      </c>
      <c r="AH44" s="267">
        <f t="shared" si="20"/>
        <v>60675.824218629976</v>
      </c>
      <c r="AK44" s="267">
        <f>SUM(E44:X44)</f>
        <v>993896.21382620547</v>
      </c>
    </row>
    <row r="45" spans="2:37" x14ac:dyDescent="0.25">
      <c r="B45" s="5">
        <f>1-B44</f>
        <v>0</v>
      </c>
      <c r="C45" t="s">
        <v>725</v>
      </c>
      <c r="D45" s="267">
        <f>+'Sources &amp; Uses'!E12</f>
        <v>0</v>
      </c>
      <c r="E45" s="267">
        <f>+E43*$B$45</f>
        <v>0</v>
      </c>
      <c r="F45" s="267">
        <f t="shared" ref="F45:AH45" si="21">+F43*$B$45</f>
        <v>0</v>
      </c>
      <c r="G45" s="267">
        <f t="shared" si="21"/>
        <v>0</v>
      </c>
      <c r="H45" s="267">
        <f t="shared" si="21"/>
        <v>0</v>
      </c>
      <c r="I45" s="267">
        <f t="shared" si="21"/>
        <v>0</v>
      </c>
      <c r="J45" s="267">
        <f t="shared" si="21"/>
        <v>0</v>
      </c>
      <c r="K45" s="267">
        <f t="shared" si="21"/>
        <v>0</v>
      </c>
      <c r="L45" s="267">
        <f t="shared" si="21"/>
        <v>0</v>
      </c>
      <c r="M45" s="267">
        <f t="shared" si="21"/>
        <v>0</v>
      </c>
      <c r="N45" s="267">
        <f t="shared" si="21"/>
        <v>0</v>
      </c>
      <c r="O45" s="267">
        <f t="shared" si="21"/>
        <v>0</v>
      </c>
      <c r="P45" s="267">
        <f t="shared" si="21"/>
        <v>0</v>
      </c>
      <c r="Q45" s="267">
        <f t="shared" si="21"/>
        <v>0</v>
      </c>
      <c r="R45" s="267">
        <f t="shared" si="21"/>
        <v>0</v>
      </c>
      <c r="S45" s="267">
        <f t="shared" si="21"/>
        <v>0</v>
      </c>
      <c r="T45" s="267">
        <f t="shared" si="21"/>
        <v>0</v>
      </c>
      <c r="U45" s="267">
        <f t="shared" si="21"/>
        <v>0</v>
      </c>
      <c r="V45" s="267">
        <f t="shared" si="21"/>
        <v>0</v>
      </c>
      <c r="W45" s="267">
        <f t="shared" si="21"/>
        <v>0</v>
      </c>
      <c r="X45" s="267">
        <f t="shared" si="21"/>
        <v>0</v>
      </c>
      <c r="Y45" s="267">
        <f t="shared" si="21"/>
        <v>0</v>
      </c>
      <c r="Z45" s="267">
        <f t="shared" si="21"/>
        <v>0</v>
      </c>
      <c r="AA45" s="267">
        <f t="shared" si="21"/>
        <v>0</v>
      </c>
      <c r="AB45" s="267">
        <f t="shared" si="21"/>
        <v>0</v>
      </c>
      <c r="AC45" s="267">
        <f t="shared" si="21"/>
        <v>0</v>
      </c>
      <c r="AD45" s="267">
        <f t="shared" si="21"/>
        <v>0</v>
      </c>
      <c r="AE45" s="267">
        <f t="shared" si="21"/>
        <v>0</v>
      </c>
      <c r="AF45" s="267">
        <f t="shared" si="21"/>
        <v>0</v>
      </c>
      <c r="AG45" s="267">
        <f t="shared" si="21"/>
        <v>0</v>
      </c>
      <c r="AH45" s="267">
        <f t="shared" si="21"/>
        <v>0</v>
      </c>
      <c r="AK45" s="267">
        <f>SUM(E45:X45)</f>
        <v>0</v>
      </c>
    </row>
    <row r="47" spans="2:37" x14ac:dyDescent="0.25">
      <c r="C47" s="256" t="s">
        <v>696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2:37" x14ac:dyDescent="0.25">
      <c r="C48" s="61" t="s">
        <v>689</v>
      </c>
      <c r="D48" s="11"/>
      <c r="E48" s="110">
        <f>'Sources &amp; Uses'!E13</f>
        <v>-138766.43852214515</v>
      </c>
      <c r="F48" s="128">
        <f>E50</f>
        <v>0</v>
      </c>
      <c r="G48" s="128">
        <f t="shared" ref="G48:AH48" si="22">F50</f>
        <v>0</v>
      </c>
      <c r="H48" s="128">
        <f t="shared" si="22"/>
        <v>0</v>
      </c>
      <c r="I48" s="128">
        <f t="shared" si="22"/>
        <v>0</v>
      </c>
      <c r="J48" s="128">
        <f t="shared" si="22"/>
        <v>0</v>
      </c>
      <c r="K48" s="128">
        <f t="shared" si="22"/>
        <v>0</v>
      </c>
      <c r="L48" s="128">
        <f t="shared" si="22"/>
        <v>0</v>
      </c>
      <c r="M48" s="128">
        <f t="shared" si="22"/>
        <v>0</v>
      </c>
      <c r="N48" s="128">
        <f t="shared" si="22"/>
        <v>0</v>
      </c>
      <c r="O48" s="128">
        <f t="shared" si="22"/>
        <v>0</v>
      </c>
      <c r="P48" s="128">
        <f t="shared" si="22"/>
        <v>0</v>
      </c>
      <c r="Q48" s="128">
        <f t="shared" si="22"/>
        <v>0</v>
      </c>
      <c r="R48" s="128">
        <f t="shared" si="22"/>
        <v>0</v>
      </c>
      <c r="S48" s="128">
        <f t="shared" si="22"/>
        <v>0</v>
      </c>
      <c r="T48" s="128">
        <f t="shared" si="22"/>
        <v>0</v>
      </c>
      <c r="U48" s="128">
        <f t="shared" si="22"/>
        <v>0</v>
      </c>
      <c r="V48" s="128">
        <f t="shared" si="22"/>
        <v>0</v>
      </c>
      <c r="W48" s="128">
        <f t="shared" si="22"/>
        <v>0</v>
      </c>
      <c r="X48" s="128">
        <f t="shared" si="22"/>
        <v>0</v>
      </c>
      <c r="Y48" s="128">
        <f t="shared" si="22"/>
        <v>0</v>
      </c>
      <c r="Z48" s="128">
        <f t="shared" si="22"/>
        <v>0</v>
      </c>
      <c r="AA48" s="128">
        <f t="shared" si="22"/>
        <v>0</v>
      </c>
      <c r="AB48" s="128">
        <f t="shared" si="22"/>
        <v>0</v>
      </c>
      <c r="AC48" s="128">
        <f t="shared" si="22"/>
        <v>0</v>
      </c>
      <c r="AD48" s="128">
        <f t="shared" si="22"/>
        <v>0</v>
      </c>
      <c r="AE48" s="128">
        <f t="shared" si="22"/>
        <v>0</v>
      </c>
      <c r="AF48" s="128">
        <f t="shared" si="22"/>
        <v>0</v>
      </c>
      <c r="AG48" s="128">
        <f t="shared" si="22"/>
        <v>0</v>
      </c>
      <c r="AH48" s="128">
        <f t="shared" si="22"/>
        <v>0</v>
      </c>
    </row>
    <row r="49" spans="3:34" x14ac:dyDescent="0.25">
      <c r="C49" s="11" t="s">
        <v>691</v>
      </c>
      <c r="D49" s="11"/>
      <c r="E49" s="128">
        <f t="shared" ref="E49:AH49" si="23">IF(E36&gt;0,MIN(E36,E48),0)</f>
        <v>-138766.43852214515</v>
      </c>
      <c r="F49" s="128">
        <f t="shared" si="23"/>
        <v>0</v>
      </c>
      <c r="G49" s="128">
        <f t="shared" si="23"/>
        <v>0</v>
      </c>
      <c r="H49" s="128">
        <f t="shared" si="23"/>
        <v>0</v>
      </c>
      <c r="I49" s="128">
        <f t="shared" si="23"/>
        <v>0</v>
      </c>
      <c r="J49" s="128">
        <f t="shared" si="23"/>
        <v>0</v>
      </c>
      <c r="K49" s="128">
        <f t="shared" si="23"/>
        <v>0</v>
      </c>
      <c r="L49" s="128">
        <f t="shared" si="23"/>
        <v>0</v>
      </c>
      <c r="M49" s="128">
        <f t="shared" si="23"/>
        <v>0</v>
      </c>
      <c r="N49" s="128">
        <f t="shared" si="23"/>
        <v>0</v>
      </c>
      <c r="O49" s="128">
        <f t="shared" si="23"/>
        <v>0</v>
      </c>
      <c r="P49" s="128">
        <f t="shared" si="23"/>
        <v>0</v>
      </c>
      <c r="Q49" s="128">
        <f t="shared" si="23"/>
        <v>0</v>
      </c>
      <c r="R49" s="128">
        <f t="shared" si="23"/>
        <v>0</v>
      </c>
      <c r="S49" s="128">
        <f t="shared" si="23"/>
        <v>0</v>
      </c>
      <c r="T49" s="128">
        <f t="shared" si="23"/>
        <v>0</v>
      </c>
      <c r="U49" s="128">
        <f t="shared" si="23"/>
        <v>0</v>
      </c>
      <c r="V49" s="128">
        <f t="shared" si="23"/>
        <v>0</v>
      </c>
      <c r="W49" s="128">
        <f t="shared" si="23"/>
        <v>0</v>
      </c>
      <c r="X49" s="128">
        <f t="shared" si="23"/>
        <v>0</v>
      </c>
      <c r="Y49" s="128">
        <f t="shared" si="23"/>
        <v>0</v>
      </c>
      <c r="Z49" s="128">
        <f t="shared" si="23"/>
        <v>0</v>
      </c>
      <c r="AA49" s="128">
        <f t="shared" si="23"/>
        <v>0</v>
      </c>
      <c r="AB49" s="128">
        <f t="shared" si="23"/>
        <v>0</v>
      </c>
      <c r="AC49" s="128">
        <f t="shared" si="23"/>
        <v>0</v>
      </c>
      <c r="AD49" s="128">
        <f t="shared" si="23"/>
        <v>0</v>
      </c>
      <c r="AE49" s="128">
        <f t="shared" si="23"/>
        <v>0</v>
      </c>
      <c r="AF49" s="128">
        <f t="shared" si="23"/>
        <v>0</v>
      </c>
      <c r="AG49" s="128">
        <f t="shared" si="23"/>
        <v>0</v>
      </c>
      <c r="AH49" s="128">
        <f t="shared" si="23"/>
        <v>0</v>
      </c>
    </row>
    <row r="50" spans="3:34" x14ac:dyDescent="0.25">
      <c r="C50" s="11" t="s">
        <v>690</v>
      </c>
      <c r="D50" s="11"/>
      <c r="E50" s="128">
        <f>E48-E49</f>
        <v>0</v>
      </c>
      <c r="F50" s="128">
        <f>F48-F49</f>
        <v>0</v>
      </c>
      <c r="G50" s="128">
        <f t="shared" ref="G50:AH50" si="24">G48-G49</f>
        <v>0</v>
      </c>
      <c r="H50" s="128">
        <f t="shared" si="24"/>
        <v>0</v>
      </c>
      <c r="I50" s="128">
        <f t="shared" si="24"/>
        <v>0</v>
      </c>
      <c r="J50" s="128">
        <f t="shared" si="24"/>
        <v>0</v>
      </c>
      <c r="K50" s="128">
        <f t="shared" si="24"/>
        <v>0</v>
      </c>
      <c r="L50" s="128">
        <f t="shared" si="24"/>
        <v>0</v>
      </c>
      <c r="M50" s="128">
        <f t="shared" si="24"/>
        <v>0</v>
      </c>
      <c r="N50" s="128">
        <f t="shared" si="24"/>
        <v>0</v>
      </c>
      <c r="O50" s="128">
        <f t="shared" si="24"/>
        <v>0</v>
      </c>
      <c r="P50" s="128">
        <f t="shared" si="24"/>
        <v>0</v>
      </c>
      <c r="Q50" s="128">
        <f t="shared" si="24"/>
        <v>0</v>
      </c>
      <c r="R50" s="128">
        <f t="shared" si="24"/>
        <v>0</v>
      </c>
      <c r="S50" s="128">
        <f t="shared" si="24"/>
        <v>0</v>
      </c>
      <c r="T50" s="128">
        <f t="shared" si="24"/>
        <v>0</v>
      </c>
      <c r="U50" s="128">
        <f t="shared" si="24"/>
        <v>0</v>
      </c>
      <c r="V50" s="128">
        <f t="shared" si="24"/>
        <v>0</v>
      </c>
      <c r="W50" s="128">
        <f t="shared" si="24"/>
        <v>0</v>
      </c>
      <c r="X50" s="128">
        <f t="shared" si="24"/>
        <v>0</v>
      </c>
      <c r="Y50" s="128">
        <f t="shared" si="24"/>
        <v>0</v>
      </c>
      <c r="Z50" s="128">
        <f t="shared" si="24"/>
        <v>0</v>
      </c>
      <c r="AA50" s="128">
        <f t="shared" si="24"/>
        <v>0</v>
      </c>
      <c r="AB50" s="128">
        <f t="shared" si="24"/>
        <v>0</v>
      </c>
      <c r="AC50" s="128">
        <f t="shared" si="24"/>
        <v>0</v>
      </c>
      <c r="AD50" s="128">
        <f t="shared" si="24"/>
        <v>0</v>
      </c>
      <c r="AE50" s="128">
        <f t="shared" si="24"/>
        <v>0</v>
      </c>
      <c r="AF50" s="128">
        <f t="shared" si="24"/>
        <v>0</v>
      </c>
      <c r="AG50" s="128">
        <f t="shared" si="24"/>
        <v>0</v>
      </c>
      <c r="AH50" s="128">
        <f t="shared" si="24"/>
        <v>0</v>
      </c>
    </row>
  </sheetData>
  <pageMargins left="0.5" right="0.5" top="0.5" bottom="0.5" header="0.3" footer="0.3"/>
  <pageSetup scale="51" fitToWidth="2" fitToHeight="0" orientation="landscape" r:id="rId1"/>
  <headerFooter scaleWithDoc="0">
    <oddHeader>&amp;R&amp;G</oddHeader>
    <oddFooter>&amp;L&amp;B Confidential&amp;B&amp;C&amp;D&amp;RPage &amp;P</oddFooter>
  </headerFooter>
  <colBreaks count="1" manualBreakCount="1">
    <brk id="14" min="1" max="38" man="1"/>
  </colBreaks>
  <ignoredErrors>
    <ignoredError sqref="E34" emptyCellReference="1"/>
  </ignoredError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T108"/>
  <sheetViews>
    <sheetView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R1" sqref="R1"/>
    </sheetView>
  </sheetViews>
  <sheetFormatPr defaultColWidth="8.85546875" defaultRowHeight="15" x14ac:dyDescent="0.25"/>
  <cols>
    <col min="1" max="1" width="2.85546875" customWidth="1"/>
    <col min="2" max="2" width="20" bestFit="1" customWidth="1"/>
    <col min="3" max="26" width="8.85546875" style="7"/>
    <col min="27" max="27" width="13.42578125" bestFit="1" customWidth="1"/>
    <col min="37" max="37" width="13.42578125" bestFit="1" customWidth="1"/>
  </cols>
  <sheetData>
    <row r="1" spans="1:46" ht="18.95" x14ac:dyDescent="0.25">
      <c r="A1" s="195" t="s">
        <v>491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x14ac:dyDescent="0.2">
      <c r="A2" s="22" t="s">
        <v>482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x14ac:dyDescent="0.2">
      <c r="A3" s="22" t="s">
        <v>695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46" x14ac:dyDescent="0.2">
      <c r="A4" s="22" t="s">
        <v>682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x14ac:dyDescent="0.2">
      <c r="A5" s="2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</row>
    <row r="6" spans="1:46" x14ac:dyDescent="0.2">
      <c r="A6" s="11"/>
      <c r="B6" s="11"/>
      <c r="C6" s="336" t="s">
        <v>488</v>
      </c>
      <c r="D6" s="337"/>
      <c r="E6" s="337"/>
      <c r="F6" s="337"/>
      <c r="G6" s="337"/>
      <c r="H6" s="338"/>
      <c r="I6" s="339" t="s">
        <v>487</v>
      </c>
      <c r="J6" s="340"/>
      <c r="K6" s="340"/>
      <c r="L6" s="340"/>
      <c r="M6" s="340"/>
      <c r="N6" s="341"/>
      <c r="O6" s="336" t="s">
        <v>489</v>
      </c>
      <c r="P6" s="337"/>
      <c r="Q6" s="337"/>
      <c r="R6" s="337"/>
      <c r="S6" s="337"/>
      <c r="T6" s="338"/>
      <c r="U6" s="339" t="s">
        <v>490</v>
      </c>
      <c r="V6" s="340"/>
      <c r="W6" s="340"/>
      <c r="X6" s="340"/>
      <c r="Y6" s="340"/>
      <c r="Z6" s="340"/>
      <c r="AA6" s="336" t="s">
        <v>484</v>
      </c>
      <c r="AB6" s="337"/>
      <c r="AC6" s="337"/>
      <c r="AD6" s="337"/>
      <c r="AE6" s="338"/>
      <c r="AF6" s="339" t="s">
        <v>483</v>
      </c>
      <c r="AG6" s="340"/>
      <c r="AH6" s="340"/>
      <c r="AI6" s="340"/>
      <c r="AJ6" s="341"/>
      <c r="AK6" s="336" t="s">
        <v>485</v>
      </c>
      <c r="AL6" s="337"/>
      <c r="AM6" s="337"/>
      <c r="AN6" s="337"/>
      <c r="AO6" s="338"/>
      <c r="AP6" s="339" t="s">
        <v>486</v>
      </c>
      <c r="AQ6" s="340"/>
      <c r="AR6" s="340"/>
      <c r="AS6" s="340"/>
      <c r="AT6" s="341"/>
    </row>
    <row r="7" spans="1:46" hidden="1" x14ac:dyDescent="0.2">
      <c r="A7" s="11"/>
      <c r="B7" s="61"/>
      <c r="C7" s="199" t="str">
        <f>"0.6_"&amp;C8</f>
        <v>0.6_1-person</v>
      </c>
      <c r="D7" s="200" t="str">
        <f t="shared" ref="D7:H7" si="0">"0.6_"&amp;D8</f>
        <v>0.6_2-person</v>
      </c>
      <c r="E7" s="200" t="str">
        <f t="shared" si="0"/>
        <v>0.6_3-person</v>
      </c>
      <c r="F7" s="200" t="str">
        <f t="shared" si="0"/>
        <v>0.6_4-person</v>
      </c>
      <c r="G7" s="200" t="str">
        <f t="shared" si="0"/>
        <v>0.6_5-person</v>
      </c>
      <c r="H7" s="201" t="str">
        <f t="shared" si="0"/>
        <v>0.6_6-person</v>
      </c>
      <c r="I7" s="196" t="str">
        <f>"0.5_"&amp;I8</f>
        <v>0.5_1-person</v>
      </c>
      <c r="J7" s="197" t="str">
        <f t="shared" ref="J7:N7" si="1">"0.5_"&amp;J8</f>
        <v>0.5_2-person</v>
      </c>
      <c r="K7" s="197" t="str">
        <f t="shared" si="1"/>
        <v>0.5_3-person</v>
      </c>
      <c r="L7" s="197" t="str">
        <f t="shared" si="1"/>
        <v>0.5_4-person</v>
      </c>
      <c r="M7" s="197" t="str">
        <f t="shared" si="1"/>
        <v>0.5_5-person</v>
      </c>
      <c r="N7" s="198" t="str">
        <f t="shared" si="1"/>
        <v>0.5_6-person</v>
      </c>
      <c r="O7" s="199" t="str">
        <f>"0.4_"&amp;O8</f>
        <v>0.4_1-person</v>
      </c>
      <c r="P7" s="200" t="str">
        <f t="shared" ref="P7:T7" si="2">"0.4_"&amp;P8</f>
        <v>0.4_2-person</v>
      </c>
      <c r="Q7" s="200" t="str">
        <f t="shared" si="2"/>
        <v>0.4_3-person</v>
      </c>
      <c r="R7" s="200" t="str">
        <f t="shared" si="2"/>
        <v>0.4_4-person</v>
      </c>
      <c r="S7" s="200" t="str">
        <f t="shared" si="2"/>
        <v>0.4_5-person</v>
      </c>
      <c r="T7" s="201" t="str">
        <f t="shared" si="2"/>
        <v>0.4_6-person</v>
      </c>
      <c r="U7" s="196" t="str">
        <f>"0.3_"&amp;U8</f>
        <v>0.3_1-person</v>
      </c>
      <c r="V7" s="197" t="str">
        <f t="shared" ref="V7:Z7" si="3">"0.3_"&amp;V8</f>
        <v>0.3_2-person</v>
      </c>
      <c r="W7" s="197" t="str">
        <f t="shared" si="3"/>
        <v>0.3_3-person</v>
      </c>
      <c r="X7" s="197" t="str">
        <f t="shared" si="3"/>
        <v>0.3_4-person</v>
      </c>
      <c r="Y7" s="197" t="str">
        <f t="shared" si="3"/>
        <v>0.3_5-person</v>
      </c>
      <c r="Z7" s="197" t="str">
        <f t="shared" si="3"/>
        <v>0.3_6-person</v>
      </c>
      <c r="AA7" s="199" t="str">
        <f>"0.6_"&amp;AA8</f>
        <v>0.6_Efficiency</v>
      </c>
      <c r="AB7" s="200" t="str">
        <f t="shared" ref="AB7:AE7" si="4">"0.6_"&amp;AB8</f>
        <v>0.6_1 BR</v>
      </c>
      <c r="AC7" s="200" t="str">
        <f t="shared" si="4"/>
        <v>0.6_2 BR</v>
      </c>
      <c r="AD7" s="200" t="str">
        <f t="shared" si="4"/>
        <v>0.6_3 BR</v>
      </c>
      <c r="AE7" s="201" t="str">
        <f t="shared" si="4"/>
        <v>0.6_0</v>
      </c>
      <c r="AF7" s="196" t="str">
        <f>"0.5_"&amp;AF8</f>
        <v>0.5_Efficiency</v>
      </c>
      <c r="AG7" s="197" t="str">
        <f t="shared" ref="AG7:AJ7" si="5">"0.5_"&amp;AG8</f>
        <v>0.5_1 BR</v>
      </c>
      <c r="AH7" s="197" t="str">
        <f t="shared" si="5"/>
        <v>0.5_2 BR</v>
      </c>
      <c r="AI7" s="197" t="str">
        <f t="shared" si="5"/>
        <v>0.5_3 BR</v>
      </c>
      <c r="AJ7" s="198" t="str">
        <f t="shared" si="5"/>
        <v>0.5_0</v>
      </c>
      <c r="AK7" s="199" t="str">
        <f>"0.4_"&amp;AK8</f>
        <v>0.4_Efficiency</v>
      </c>
      <c r="AL7" s="200" t="str">
        <f t="shared" ref="AL7:AO7" si="6">"0.4_"&amp;AL8</f>
        <v>0.4_1 BR</v>
      </c>
      <c r="AM7" s="200" t="str">
        <f t="shared" si="6"/>
        <v>0.4_2 BR</v>
      </c>
      <c r="AN7" s="200" t="str">
        <f t="shared" si="6"/>
        <v>0.4_3 BR</v>
      </c>
      <c r="AO7" s="201" t="str">
        <f t="shared" si="6"/>
        <v>0.4_0</v>
      </c>
      <c r="AP7" s="196" t="str">
        <f>"0.3_"&amp;AP8</f>
        <v>0.3_Efficiency</v>
      </c>
      <c r="AQ7" s="197" t="str">
        <f t="shared" ref="AQ7:AT7" si="7">"0.3_"&amp;AQ8</f>
        <v>0.3_1 BR</v>
      </c>
      <c r="AR7" s="197" t="str">
        <f t="shared" si="7"/>
        <v>0.3_2 BR</v>
      </c>
      <c r="AS7" s="197" t="str">
        <f t="shared" si="7"/>
        <v>0.3_3 BR</v>
      </c>
      <c r="AT7" s="198" t="str">
        <f t="shared" si="7"/>
        <v>0.3_0</v>
      </c>
    </row>
    <row r="8" spans="1:46" x14ac:dyDescent="0.2">
      <c r="A8" s="11"/>
      <c r="B8" s="108" t="s">
        <v>2</v>
      </c>
      <c r="C8" s="205" t="str">
        <f t="shared" ref="C8:H8" si="8">I8</f>
        <v>1-person</v>
      </c>
      <c r="D8" s="206" t="str">
        <f t="shared" si="8"/>
        <v>2-person</v>
      </c>
      <c r="E8" s="206" t="str">
        <f t="shared" si="8"/>
        <v>3-person</v>
      </c>
      <c r="F8" s="206" t="str">
        <f t="shared" si="8"/>
        <v>4-person</v>
      </c>
      <c r="G8" s="206" t="str">
        <f t="shared" si="8"/>
        <v>5-person</v>
      </c>
      <c r="H8" s="207" t="str">
        <f t="shared" si="8"/>
        <v>6-person</v>
      </c>
      <c r="I8" s="202" t="s">
        <v>476</v>
      </c>
      <c r="J8" s="203" t="s">
        <v>477</v>
      </c>
      <c r="K8" s="203" t="s">
        <v>478</v>
      </c>
      <c r="L8" s="203" t="s">
        <v>479</v>
      </c>
      <c r="M8" s="203" t="s">
        <v>480</v>
      </c>
      <c r="N8" s="204" t="s">
        <v>481</v>
      </c>
      <c r="O8" s="205" t="str">
        <f t="shared" ref="O8:T8" si="9">C8</f>
        <v>1-person</v>
      </c>
      <c r="P8" s="206" t="str">
        <f t="shared" si="9"/>
        <v>2-person</v>
      </c>
      <c r="Q8" s="206" t="str">
        <f t="shared" si="9"/>
        <v>3-person</v>
      </c>
      <c r="R8" s="206" t="str">
        <f t="shared" si="9"/>
        <v>4-person</v>
      </c>
      <c r="S8" s="206" t="str">
        <f t="shared" si="9"/>
        <v>5-person</v>
      </c>
      <c r="T8" s="207" t="str">
        <f t="shared" si="9"/>
        <v>6-person</v>
      </c>
      <c r="U8" s="208" t="str">
        <f>O8</f>
        <v>1-person</v>
      </c>
      <c r="V8" s="209" t="str">
        <f>P8</f>
        <v>2-person</v>
      </c>
      <c r="W8" s="209" t="str">
        <f t="shared" ref="W8:Y8" si="10">Q8</f>
        <v>3-person</v>
      </c>
      <c r="X8" s="209" t="str">
        <f t="shared" si="10"/>
        <v>4-person</v>
      </c>
      <c r="Y8" s="209" t="str">
        <f t="shared" si="10"/>
        <v>5-person</v>
      </c>
      <c r="Z8" s="209" t="str">
        <f>T8</f>
        <v>6-person</v>
      </c>
      <c r="AA8" s="205" t="str">
        <f>AF8</f>
        <v>Efficiency</v>
      </c>
      <c r="AB8" s="213" t="str">
        <f>AG8</f>
        <v>1 BR</v>
      </c>
      <c r="AC8" s="213" t="str">
        <f>AH8</f>
        <v>2 BR</v>
      </c>
      <c r="AD8" s="213" t="str">
        <f>AI8</f>
        <v>3 BR</v>
      </c>
      <c r="AE8" s="214">
        <f>AJ8</f>
        <v>0</v>
      </c>
      <c r="AF8" s="210" t="str">
        <f>DropDownLists!R3</f>
        <v>Efficiency</v>
      </c>
      <c r="AG8" s="211" t="str">
        <f>DropDownLists!R4</f>
        <v>1 BR</v>
      </c>
      <c r="AH8" s="211" t="str">
        <f>DropDownLists!R5</f>
        <v>2 BR</v>
      </c>
      <c r="AI8" s="211" t="str">
        <f>DropDownLists!R6</f>
        <v>3 BR</v>
      </c>
      <c r="AJ8" s="212">
        <f>DropDownLists!R7</f>
        <v>0</v>
      </c>
      <c r="AK8" s="205" t="str">
        <f>AA8</f>
        <v>Efficiency</v>
      </c>
      <c r="AL8" s="213" t="str">
        <f>AB8</f>
        <v>1 BR</v>
      </c>
      <c r="AM8" s="213" t="str">
        <f>AC8</f>
        <v>2 BR</v>
      </c>
      <c r="AN8" s="213" t="str">
        <f>AD8</f>
        <v>3 BR</v>
      </c>
      <c r="AO8" s="214">
        <f>AE8</f>
        <v>0</v>
      </c>
      <c r="AP8" s="208" t="str">
        <f>AK8</f>
        <v>Efficiency</v>
      </c>
      <c r="AQ8" s="215" t="str">
        <f>AL8</f>
        <v>1 BR</v>
      </c>
      <c r="AR8" s="215" t="str">
        <f t="shared" ref="AR8:AS8" si="11">AM8</f>
        <v>2 BR</v>
      </c>
      <c r="AS8" s="215" t="str">
        <f t="shared" si="11"/>
        <v>3 BR</v>
      </c>
      <c r="AT8" s="216">
        <f>AO8</f>
        <v>0</v>
      </c>
    </row>
    <row r="9" spans="1:46" x14ac:dyDescent="0.2">
      <c r="A9" s="11"/>
      <c r="B9" s="11" t="s">
        <v>43</v>
      </c>
      <c r="C9" s="220">
        <f t="shared" ref="C9:C40" si="12">I9*1.2</f>
        <v>22680</v>
      </c>
      <c r="D9" s="221">
        <f t="shared" ref="D9:D40" si="13">J9*1.2</f>
        <v>25920</v>
      </c>
      <c r="E9" s="221">
        <f t="shared" ref="E9:E40" si="14">K9*1.2</f>
        <v>29160</v>
      </c>
      <c r="F9" s="221">
        <f t="shared" ref="F9:F40" si="15">L9*1.2</f>
        <v>32340</v>
      </c>
      <c r="G9" s="221">
        <f t="shared" ref="G9:G40" si="16">M9*1.2</f>
        <v>34980</v>
      </c>
      <c r="H9" s="222">
        <f t="shared" ref="H9:H40" si="17">N9*1.2</f>
        <v>37560</v>
      </c>
      <c r="I9" s="217">
        <f>'MTSP Income Limits'!G7</f>
        <v>18900</v>
      </c>
      <c r="J9" s="218">
        <f>'MTSP Income Limits'!H7</f>
        <v>21600</v>
      </c>
      <c r="K9" s="218">
        <f>'MTSP Income Limits'!I7</f>
        <v>24300</v>
      </c>
      <c r="L9" s="218">
        <f>'MTSP Income Limits'!J7</f>
        <v>26950</v>
      </c>
      <c r="M9" s="218">
        <f>'MTSP Income Limits'!K7</f>
        <v>29150</v>
      </c>
      <c r="N9" s="219">
        <f>'MTSP Income Limits'!L7</f>
        <v>31300</v>
      </c>
      <c r="O9" s="220">
        <f t="shared" ref="O9:O40" si="18">I9*0.8</f>
        <v>15120</v>
      </c>
      <c r="P9" s="221">
        <f t="shared" ref="P9:P40" si="19">J9*0.8</f>
        <v>17280</v>
      </c>
      <c r="Q9" s="221">
        <f t="shared" ref="Q9:Q40" si="20">K9*0.8</f>
        <v>19440</v>
      </c>
      <c r="R9" s="221">
        <f t="shared" ref="R9:R40" si="21">L9*0.8</f>
        <v>21560</v>
      </c>
      <c r="S9" s="221">
        <f t="shared" ref="S9:S40" si="22">M9*0.8</f>
        <v>23320</v>
      </c>
      <c r="T9" s="222">
        <f t="shared" ref="T9:T40" si="23">N9*0.8</f>
        <v>25040</v>
      </c>
      <c r="U9" s="223">
        <f t="shared" ref="U9:U40" si="24">I9*0.6</f>
        <v>11340</v>
      </c>
      <c r="V9" s="224">
        <f t="shared" ref="V9:V40" si="25">J9*0.6</f>
        <v>12960</v>
      </c>
      <c r="W9" s="224">
        <f t="shared" ref="W9:W40" si="26">K9*0.6</f>
        <v>14580</v>
      </c>
      <c r="X9" s="224">
        <f t="shared" ref="X9:X40" si="27">L9*0.6</f>
        <v>16170</v>
      </c>
      <c r="Y9" s="224">
        <f t="shared" ref="Y9:Y40" si="28">M9*0.6</f>
        <v>17490</v>
      </c>
      <c r="Z9" s="224">
        <f t="shared" ref="Z9:Z40" si="29">N9*0.6</f>
        <v>18780</v>
      </c>
      <c r="AA9" s="220">
        <f t="shared" ref="AA9:AA40" si="30">ROUNDDOWN(AF9*1.2,0)</f>
        <v>566</v>
      </c>
      <c r="AB9" s="221">
        <f t="shared" ref="AB9:AB40" si="31">ROUNDDOWN(AG9*1.2,0)</f>
        <v>607</v>
      </c>
      <c r="AC9" s="221">
        <f t="shared" ref="AC9:AC40" si="32">ROUNDDOWN(AH9*1.2,0)</f>
        <v>728</v>
      </c>
      <c r="AD9" s="221">
        <f t="shared" ref="AD9:AD40" si="33">ROUNDDOWN(AI9*1.2,0)</f>
        <v>841</v>
      </c>
      <c r="AE9" s="222">
        <f t="shared" ref="AE9:AE40" si="34">ROUNDDOWN(AJ9*1.2,0)</f>
        <v>938</v>
      </c>
      <c r="AF9" s="223">
        <f t="shared" ref="AF9:AF40" si="35">ROUNDDOWN(I9*0.3/12,0)</f>
        <v>472</v>
      </c>
      <c r="AG9" s="224">
        <f t="shared" ref="AG9:AG40" si="36">ROUNDDOWN(((I9+J9)/2)*0.3/12,0)</f>
        <v>506</v>
      </c>
      <c r="AH9" s="224">
        <f t="shared" ref="AH9:AH40" si="37">ROUNDDOWN(K9*0.3/12,0)</f>
        <v>607</v>
      </c>
      <c r="AI9" s="224">
        <f t="shared" ref="AI9:AI40" si="38">ROUNDDOWN(((L9+M9)/2)*0.3/12,0)</f>
        <v>701</v>
      </c>
      <c r="AJ9" s="225">
        <f t="shared" ref="AJ9:AJ40" si="39">ROUNDDOWN(N9*0.3/12,0)</f>
        <v>782</v>
      </c>
      <c r="AK9" s="220">
        <f t="shared" ref="AK9:AK40" si="40">ROUNDDOWN(AF9*0.8,0)</f>
        <v>377</v>
      </c>
      <c r="AL9" s="221">
        <f t="shared" ref="AL9:AL40" si="41">ROUNDDOWN(AG9*0.8,0)</f>
        <v>404</v>
      </c>
      <c r="AM9" s="221">
        <f t="shared" ref="AM9:AM40" si="42">ROUNDDOWN(AH9*0.8,0)</f>
        <v>485</v>
      </c>
      <c r="AN9" s="221">
        <f t="shared" ref="AN9:AN40" si="43">ROUNDDOWN(AI9*0.8,0)</f>
        <v>560</v>
      </c>
      <c r="AO9" s="222">
        <f t="shared" ref="AO9:AO40" si="44">ROUNDDOWN(AJ9*0.8,0)</f>
        <v>625</v>
      </c>
      <c r="AP9" s="223">
        <f t="shared" ref="AP9:AP40" si="45">ROUNDDOWN(AF9*0.6,0)</f>
        <v>283</v>
      </c>
      <c r="AQ9" s="224">
        <f t="shared" ref="AQ9:AQ40" si="46">ROUNDDOWN(AG9*0.6,0)</f>
        <v>303</v>
      </c>
      <c r="AR9" s="224">
        <f t="shared" ref="AR9:AR40" si="47">ROUNDDOWN(AH9*0.6,0)</f>
        <v>364</v>
      </c>
      <c r="AS9" s="224">
        <f t="shared" ref="AS9:AS40" si="48">ROUNDDOWN(AI9*0.6,0)</f>
        <v>420</v>
      </c>
      <c r="AT9" s="225">
        <f t="shared" ref="AT9:AT40" si="49">ROUNDDOWN(AJ9*0.6,0)</f>
        <v>469</v>
      </c>
    </row>
    <row r="10" spans="1:46" x14ac:dyDescent="0.2">
      <c r="A10" s="11"/>
      <c r="B10" s="11" t="s">
        <v>44</v>
      </c>
      <c r="C10" s="220">
        <f t="shared" si="12"/>
        <v>20760</v>
      </c>
      <c r="D10" s="221">
        <f t="shared" si="13"/>
        <v>23760</v>
      </c>
      <c r="E10" s="221">
        <f t="shared" si="14"/>
        <v>26700</v>
      </c>
      <c r="F10" s="221">
        <f t="shared" si="15"/>
        <v>29640</v>
      </c>
      <c r="G10" s="221">
        <f t="shared" si="16"/>
        <v>32040</v>
      </c>
      <c r="H10" s="222">
        <f t="shared" si="17"/>
        <v>34440</v>
      </c>
      <c r="I10" s="217">
        <f>'MTSP Income Limits'!G8</f>
        <v>17300</v>
      </c>
      <c r="J10" s="218">
        <f>'MTSP Income Limits'!H8</f>
        <v>19800</v>
      </c>
      <c r="K10" s="218">
        <f>'MTSP Income Limits'!I8</f>
        <v>22250</v>
      </c>
      <c r="L10" s="218">
        <f>'MTSP Income Limits'!J8</f>
        <v>24700</v>
      </c>
      <c r="M10" s="218">
        <f>'MTSP Income Limits'!K8</f>
        <v>26700</v>
      </c>
      <c r="N10" s="219">
        <f>'MTSP Income Limits'!L8</f>
        <v>28700</v>
      </c>
      <c r="O10" s="220">
        <f t="shared" si="18"/>
        <v>13840</v>
      </c>
      <c r="P10" s="221">
        <f t="shared" si="19"/>
        <v>15840</v>
      </c>
      <c r="Q10" s="221">
        <f t="shared" si="20"/>
        <v>17800</v>
      </c>
      <c r="R10" s="221">
        <f t="shared" si="21"/>
        <v>19760</v>
      </c>
      <c r="S10" s="221">
        <f t="shared" si="22"/>
        <v>21360</v>
      </c>
      <c r="T10" s="222">
        <f t="shared" si="23"/>
        <v>22960</v>
      </c>
      <c r="U10" s="223">
        <f t="shared" si="24"/>
        <v>10380</v>
      </c>
      <c r="V10" s="224">
        <f t="shared" si="25"/>
        <v>11880</v>
      </c>
      <c r="W10" s="224">
        <f t="shared" si="26"/>
        <v>13350</v>
      </c>
      <c r="X10" s="224">
        <f t="shared" si="27"/>
        <v>14820</v>
      </c>
      <c r="Y10" s="224">
        <f t="shared" si="28"/>
        <v>16020</v>
      </c>
      <c r="Z10" s="224">
        <f t="shared" si="29"/>
        <v>17220</v>
      </c>
      <c r="AA10" s="220">
        <f t="shared" si="30"/>
        <v>518</v>
      </c>
      <c r="AB10" s="221">
        <f t="shared" si="31"/>
        <v>555</v>
      </c>
      <c r="AC10" s="221">
        <f t="shared" si="32"/>
        <v>667</v>
      </c>
      <c r="AD10" s="221">
        <f t="shared" si="33"/>
        <v>770</v>
      </c>
      <c r="AE10" s="222">
        <f t="shared" si="34"/>
        <v>860</v>
      </c>
      <c r="AF10" s="223">
        <f t="shared" si="35"/>
        <v>432</v>
      </c>
      <c r="AG10" s="224">
        <f t="shared" si="36"/>
        <v>463</v>
      </c>
      <c r="AH10" s="224">
        <f t="shared" si="37"/>
        <v>556</v>
      </c>
      <c r="AI10" s="224">
        <f t="shared" si="38"/>
        <v>642</v>
      </c>
      <c r="AJ10" s="225">
        <f t="shared" si="39"/>
        <v>717</v>
      </c>
      <c r="AK10" s="220">
        <f t="shared" si="40"/>
        <v>345</v>
      </c>
      <c r="AL10" s="221">
        <f t="shared" si="41"/>
        <v>370</v>
      </c>
      <c r="AM10" s="221">
        <f t="shared" si="42"/>
        <v>444</v>
      </c>
      <c r="AN10" s="221">
        <f t="shared" si="43"/>
        <v>513</v>
      </c>
      <c r="AO10" s="222">
        <f t="shared" si="44"/>
        <v>573</v>
      </c>
      <c r="AP10" s="223">
        <f t="shared" si="45"/>
        <v>259</v>
      </c>
      <c r="AQ10" s="224">
        <f t="shared" si="46"/>
        <v>277</v>
      </c>
      <c r="AR10" s="224">
        <f t="shared" si="47"/>
        <v>333</v>
      </c>
      <c r="AS10" s="224">
        <f t="shared" si="48"/>
        <v>385</v>
      </c>
      <c r="AT10" s="225">
        <f t="shared" si="49"/>
        <v>430</v>
      </c>
    </row>
    <row r="11" spans="1:46" x14ac:dyDescent="0.2">
      <c r="A11" s="11"/>
      <c r="B11" s="11" t="s">
        <v>45</v>
      </c>
      <c r="C11" s="220">
        <f t="shared" si="12"/>
        <v>20760</v>
      </c>
      <c r="D11" s="221">
        <f t="shared" si="13"/>
        <v>23760</v>
      </c>
      <c r="E11" s="221">
        <f t="shared" si="14"/>
        <v>26700</v>
      </c>
      <c r="F11" s="221">
        <f t="shared" si="15"/>
        <v>29640</v>
      </c>
      <c r="G11" s="221">
        <f t="shared" si="16"/>
        <v>32040</v>
      </c>
      <c r="H11" s="222">
        <f t="shared" si="17"/>
        <v>34440</v>
      </c>
      <c r="I11" s="217">
        <f>'MTSP Income Limits'!G9</f>
        <v>17300</v>
      </c>
      <c r="J11" s="218">
        <f>'MTSP Income Limits'!H9</f>
        <v>19800</v>
      </c>
      <c r="K11" s="218">
        <f>'MTSP Income Limits'!I9</f>
        <v>22250</v>
      </c>
      <c r="L11" s="218">
        <f>'MTSP Income Limits'!J9</f>
        <v>24700</v>
      </c>
      <c r="M11" s="218">
        <f>'MTSP Income Limits'!K9</f>
        <v>26700</v>
      </c>
      <c r="N11" s="219">
        <f>'MTSP Income Limits'!L9</f>
        <v>28700</v>
      </c>
      <c r="O11" s="220">
        <f t="shared" si="18"/>
        <v>13840</v>
      </c>
      <c r="P11" s="221">
        <f t="shared" si="19"/>
        <v>15840</v>
      </c>
      <c r="Q11" s="221">
        <f t="shared" si="20"/>
        <v>17800</v>
      </c>
      <c r="R11" s="221">
        <f t="shared" si="21"/>
        <v>19760</v>
      </c>
      <c r="S11" s="221">
        <f t="shared" si="22"/>
        <v>21360</v>
      </c>
      <c r="T11" s="222">
        <f t="shared" si="23"/>
        <v>22960</v>
      </c>
      <c r="U11" s="223">
        <f t="shared" si="24"/>
        <v>10380</v>
      </c>
      <c r="V11" s="224">
        <f t="shared" si="25"/>
        <v>11880</v>
      </c>
      <c r="W11" s="224">
        <f t="shared" si="26"/>
        <v>13350</v>
      </c>
      <c r="X11" s="224">
        <f t="shared" si="27"/>
        <v>14820</v>
      </c>
      <c r="Y11" s="224">
        <f t="shared" si="28"/>
        <v>16020</v>
      </c>
      <c r="Z11" s="224">
        <f t="shared" si="29"/>
        <v>17220</v>
      </c>
      <c r="AA11" s="220">
        <f t="shared" si="30"/>
        <v>518</v>
      </c>
      <c r="AB11" s="221">
        <f t="shared" si="31"/>
        <v>555</v>
      </c>
      <c r="AC11" s="221">
        <f t="shared" si="32"/>
        <v>667</v>
      </c>
      <c r="AD11" s="221">
        <f t="shared" si="33"/>
        <v>770</v>
      </c>
      <c r="AE11" s="222">
        <f t="shared" si="34"/>
        <v>860</v>
      </c>
      <c r="AF11" s="223">
        <f t="shared" si="35"/>
        <v>432</v>
      </c>
      <c r="AG11" s="224">
        <f t="shared" si="36"/>
        <v>463</v>
      </c>
      <c r="AH11" s="224">
        <f t="shared" si="37"/>
        <v>556</v>
      </c>
      <c r="AI11" s="224">
        <f t="shared" si="38"/>
        <v>642</v>
      </c>
      <c r="AJ11" s="225">
        <f t="shared" si="39"/>
        <v>717</v>
      </c>
      <c r="AK11" s="220">
        <f t="shared" si="40"/>
        <v>345</v>
      </c>
      <c r="AL11" s="221">
        <f t="shared" si="41"/>
        <v>370</v>
      </c>
      <c r="AM11" s="221">
        <f t="shared" si="42"/>
        <v>444</v>
      </c>
      <c r="AN11" s="221">
        <f t="shared" si="43"/>
        <v>513</v>
      </c>
      <c r="AO11" s="222">
        <f t="shared" si="44"/>
        <v>573</v>
      </c>
      <c r="AP11" s="223">
        <f t="shared" si="45"/>
        <v>259</v>
      </c>
      <c r="AQ11" s="224">
        <f t="shared" si="46"/>
        <v>277</v>
      </c>
      <c r="AR11" s="224">
        <f t="shared" si="47"/>
        <v>333</v>
      </c>
      <c r="AS11" s="224">
        <f t="shared" si="48"/>
        <v>385</v>
      </c>
      <c r="AT11" s="225">
        <f t="shared" si="49"/>
        <v>430</v>
      </c>
    </row>
    <row r="12" spans="1:46" x14ac:dyDescent="0.2">
      <c r="A12" s="11"/>
      <c r="B12" s="11" t="s">
        <v>46</v>
      </c>
      <c r="C12" s="220">
        <f t="shared" si="12"/>
        <v>20760</v>
      </c>
      <c r="D12" s="221">
        <f t="shared" si="13"/>
        <v>23760</v>
      </c>
      <c r="E12" s="221">
        <f t="shared" si="14"/>
        <v>26700</v>
      </c>
      <c r="F12" s="221">
        <f t="shared" si="15"/>
        <v>29640</v>
      </c>
      <c r="G12" s="221">
        <f t="shared" si="16"/>
        <v>32040</v>
      </c>
      <c r="H12" s="222">
        <f t="shared" si="17"/>
        <v>34440</v>
      </c>
      <c r="I12" s="217">
        <f>'MTSP Income Limits'!G10</f>
        <v>17300</v>
      </c>
      <c r="J12" s="218">
        <f>'MTSP Income Limits'!H10</f>
        <v>19800</v>
      </c>
      <c r="K12" s="218">
        <f>'MTSP Income Limits'!I10</f>
        <v>22250</v>
      </c>
      <c r="L12" s="218">
        <f>'MTSP Income Limits'!J10</f>
        <v>24700</v>
      </c>
      <c r="M12" s="218">
        <f>'MTSP Income Limits'!K10</f>
        <v>26700</v>
      </c>
      <c r="N12" s="219">
        <f>'MTSP Income Limits'!L10</f>
        <v>28700</v>
      </c>
      <c r="O12" s="220">
        <f t="shared" si="18"/>
        <v>13840</v>
      </c>
      <c r="P12" s="221">
        <f t="shared" si="19"/>
        <v>15840</v>
      </c>
      <c r="Q12" s="221">
        <f t="shared" si="20"/>
        <v>17800</v>
      </c>
      <c r="R12" s="221">
        <f t="shared" si="21"/>
        <v>19760</v>
      </c>
      <c r="S12" s="221">
        <f t="shared" si="22"/>
        <v>21360</v>
      </c>
      <c r="T12" s="222">
        <f t="shared" si="23"/>
        <v>22960</v>
      </c>
      <c r="U12" s="223">
        <f t="shared" si="24"/>
        <v>10380</v>
      </c>
      <c r="V12" s="224">
        <f t="shared" si="25"/>
        <v>11880</v>
      </c>
      <c r="W12" s="224">
        <f t="shared" si="26"/>
        <v>13350</v>
      </c>
      <c r="X12" s="224">
        <f t="shared" si="27"/>
        <v>14820</v>
      </c>
      <c r="Y12" s="224">
        <f t="shared" si="28"/>
        <v>16020</v>
      </c>
      <c r="Z12" s="224">
        <f t="shared" si="29"/>
        <v>17220</v>
      </c>
      <c r="AA12" s="220">
        <f t="shared" si="30"/>
        <v>518</v>
      </c>
      <c r="AB12" s="221">
        <f t="shared" si="31"/>
        <v>555</v>
      </c>
      <c r="AC12" s="221">
        <f t="shared" si="32"/>
        <v>667</v>
      </c>
      <c r="AD12" s="221">
        <f t="shared" si="33"/>
        <v>770</v>
      </c>
      <c r="AE12" s="222">
        <f t="shared" si="34"/>
        <v>860</v>
      </c>
      <c r="AF12" s="223">
        <f t="shared" si="35"/>
        <v>432</v>
      </c>
      <c r="AG12" s="224">
        <f t="shared" si="36"/>
        <v>463</v>
      </c>
      <c r="AH12" s="224">
        <f t="shared" si="37"/>
        <v>556</v>
      </c>
      <c r="AI12" s="224">
        <f t="shared" si="38"/>
        <v>642</v>
      </c>
      <c r="AJ12" s="225">
        <f t="shared" si="39"/>
        <v>717</v>
      </c>
      <c r="AK12" s="220">
        <f t="shared" si="40"/>
        <v>345</v>
      </c>
      <c r="AL12" s="221">
        <f t="shared" si="41"/>
        <v>370</v>
      </c>
      <c r="AM12" s="221">
        <f t="shared" si="42"/>
        <v>444</v>
      </c>
      <c r="AN12" s="221">
        <f t="shared" si="43"/>
        <v>513</v>
      </c>
      <c r="AO12" s="222">
        <f t="shared" si="44"/>
        <v>573</v>
      </c>
      <c r="AP12" s="223">
        <f t="shared" si="45"/>
        <v>259</v>
      </c>
      <c r="AQ12" s="224">
        <f t="shared" si="46"/>
        <v>277</v>
      </c>
      <c r="AR12" s="224">
        <f t="shared" si="47"/>
        <v>333</v>
      </c>
      <c r="AS12" s="224">
        <f t="shared" si="48"/>
        <v>385</v>
      </c>
      <c r="AT12" s="225">
        <f t="shared" si="49"/>
        <v>430</v>
      </c>
    </row>
    <row r="13" spans="1:46" x14ac:dyDescent="0.2">
      <c r="A13" s="11"/>
      <c r="B13" s="11" t="s">
        <v>47</v>
      </c>
      <c r="C13" s="220">
        <f t="shared" si="12"/>
        <v>20880</v>
      </c>
      <c r="D13" s="221">
        <f t="shared" si="13"/>
        <v>23820</v>
      </c>
      <c r="E13" s="221">
        <f t="shared" si="14"/>
        <v>26820</v>
      </c>
      <c r="F13" s="221">
        <f t="shared" si="15"/>
        <v>29760</v>
      </c>
      <c r="G13" s="221">
        <f t="shared" si="16"/>
        <v>32160</v>
      </c>
      <c r="H13" s="222">
        <f t="shared" si="17"/>
        <v>34560</v>
      </c>
      <c r="I13" s="217">
        <f>'MTSP Income Limits'!G11</f>
        <v>17400</v>
      </c>
      <c r="J13" s="218">
        <f>'MTSP Income Limits'!H11</f>
        <v>19850</v>
      </c>
      <c r="K13" s="218">
        <f>'MTSP Income Limits'!I11</f>
        <v>22350</v>
      </c>
      <c r="L13" s="218">
        <f>'MTSP Income Limits'!J11</f>
        <v>24800</v>
      </c>
      <c r="M13" s="218">
        <f>'MTSP Income Limits'!K11</f>
        <v>26800</v>
      </c>
      <c r="N13" s="219">
        <f>'MTSP Income Limits'!L11</f>
        <v>28800</v>
      </c>
      <c r="O13" s="220">
        <f t="shared" si="18"/>
        <v>13920</v>
      </c>
      <c r="P13" s="221">
        <f t="shared" si="19"/>
        <v>15880</v>
      </c>
      <c r="Q13" s="221">
        <f t="shared" si="20"/>
        <v>17880</v>
      </c>
      <c r="R13" s="221">
        <f t="shared" si="21"/>
        <v>19840</v>
      </c>
      <c r="S13" s="221">
        <f t="shared" si="22"/>
        <v>21440</v>
      </c>
      <c r="T13" s="222">
        <f t="shared" si="23"/>
        <v>23040</v>
      </c>
      <c r="U13" s="223">
        <f t="shared" si="24"/>
        <v>10440</v>
      </c>
      <c r="V13" s="224">
        <f t="shared" si="25"/>
        <v>11910</v>
      </c>
      <c r="W13" s="224">
        <f t="shared" si="26"/>
        <v>13410</v>
      </c>
      <c r="X13" s="224">
        <f t="shared" si="27"/>
        <v>14880</v>
      </c>
      <c r="Y13" s="224">
        <f t="shared" si="28"/>
        <v>16080</v>
      </c>
      <c r="Z13" s="224">
        <f t="shared" si="29"/>
        <v>17280</v>
      </c>
      <c r="AA13" s="220">
        <f t="shared" si="30"/>
        <v>522</v>
      </c>
      <c r="AB13" s="221">
        <f t="shared" si="31"/>
        <v>558</v>
      </c>
      <c r="AC13" s="221">
        <f t="shared" si="32"/>
        <v>669</v>
      </c>
      <c r="AD13" s="221">
        <f t="shared" si="33"/>
        <v>774</v>
      </c>
      <c r="AE13" s="222">
        <f t="shared" si="34"/>
        <v>864</v>
      </c>
      <c r="AF13" s="223">
        <f t="shared" si="35"/>
        <v>435</v>
      </c>
      <c r="AG13" s="224">
        <f t="shared" si="36"/>
        <v>465</v>
      </c>
      <c r="AH13" s="224">
        <f t="shared" si="37"/>
        <v>558</v>
      </c>
      <c r="AI13" s="224">
        <f t="shared" si="38"/>
        <v>645</v>
      </c>
      <c r="AJ13" s="225">
        <f t="shared" si="39"/>
        <v>720</v>
      </c>
      <c r="AK13" s="220">
        <f t="shared" si="40"/>
        <v>348</v>
      </c>
      <c r="AL13" s="221">
        <f t="shared" si="41"/>
        <v>372</v>
      </c>
      <c r="AM13" s="221">
        <f t="shared" si="42"/>
        <v>446</v>
      </c>
      <c r="AN13" s="221">
        <f t="shared" si="43"/>
        <v>516</v>
      </c>
      <c r="AO13" s="222">
        <f t="shared" si="44"/>
        <v>576</v>
      </c>
      <c r="AP13" s="223">
        <f t="shared" si="45"/>
        <v>261</v>
      </c>
      <c r="AQ13" s="224">
        <f t="shared" si="46"/>
        <v>279</v>
      </c>
      <c r="AR13" s="224">
        <f t="shared" si="47"/>
        <v>334</v>
      </c>
      <c r="AS13" s="224">
        <f t="shared" si="48"/>
        <v>387</v>
      </c>
      <c r="AT13" s="225">
        <f t="shared" si="49"/>
        <v>432</v>
      </c>
    </row>
    <row r="14" spans="1:46" x14ac:dyDescent="0.2">
      <c r="A14" s="11"/>
      <c r="B14" s="11" t="s">
        <v>48</v>
      </c>
      <c r="C14" s="220">
        <f t="shared" si="12"/>
        <v>21060</v>
      </c>
      <c r="D14" s="221">
        <f t="shared" si="13"/>
        <v>24060</v>
      </c>
      <c r="E14" s="221">
        <f t="shared" si="14"/>
        <v>27060</v>
      </c>
      <c r="F14" s="221">
        <f t="shared" si="15"/>
        <v>30060</v>
      </c>
      <c r="G14" s="221">
        <f t="shared" si="16"/>
        <v>32520</v>
      </c>
      <c r="H14" s="222">
        <f t="shared" si="17"/>
        <v>34920</v>
      </c>
      <c r="I14" s="217">
        <f>'MTSP Income Limits'!G12</f>
        <v>17550</v>
      </c>
      <c r="J14" s="218">
        <f>'MTSP Income Limits'!H12</f>
        <v>20050</v>
      </c>
      <c r="K14" s="218">
        <f>'MTSP Income Limits'!I12</f>
        <v>22550</v>
      </c>
      <c r="L14" s="218">
        <f>'MTSP Income Limits'!J12</f>
        <v>25050</v>
      </c>
      <c r="M14" s="218">
        <f>'MTSP Income Limits'!K12</f>
        <v>27100</v>
      </c>
      <c r="N14" s="219">
        <f>'MTSP Income Limits'!L12</f>
        <v>29100</v>
      </c>
      <c r="O14" s="220">
        <f t="shared" si="18"/>
        <v>14040</v>
      </c>
      <c r="P14" s="221">
        <f t="shared" si="19"/>
        <v>16040</v>
      </c>
      <c r="Q14" s="221">
        <f t="shared" si="20"/>
        <v>18040</v>
      </c>
      <c r="R14" s="221">
        <f t="shared" si="21"/>
        <v>20040</v>
      </c>
      <c r="S14" s="221">
        <f t="shared" si="22"/>
        <v>21680</v>
      </c>
      <c r="T14" s="222">
        <f t="shared" si="23"/>
        <v>23280</v>
      </c>
      <c r="U14" s="223">
        <f t="shared" si="24"/>
        <v>10530</v>
      </c>
      <c r="V14" s="224">
        <f t="shared" si="25"/>
        <v>12030</v>
      </c>
      <c r="W14" s="224">
        <f t="shared" si="26"/>
        <v>13530</v>
      </c>
      <c r="X14" s="224">
        <f t="shared" si="27"/>
        <v>15030</v>
      </c>
      <c r="Y14" s="224">
        <f t="shared" si="28"/>
        <v>16260</v>
      </c>
      <c r="Z14" s="224">
        <f t="shared" si="29"/>
        <v>17460</v>
      </c>
      <c r="AA14" s="220">
        <f t="shared" si="30"/>
        <v>525</v>
      </c>
      <c r="AB14" s="221">
        <f t="shared" si="31"/>
        <v>564</v>
      </c>
      <c r="AC14" s="221">
        <f t="shared" si="32"/>
        <v>675</v>
      </c>
      <c r="AD14" s="221">
        <f t="shared" si="33"/>
        <v>781</v>
      </c>
      <c r="AE14" s="222">
        <f t="shared" si="34"/>
        <v>872</v>
      </c>
      <c r="AF14" s="223">
        <f t="shared" si="35"/>
        <v>438</v>
      </c>
      <c r="AG14" s="224">
        <f t="shared" si="36"/>
        <v>470</v>
      </c>
      <c r="AH14" s="224">
        <f t="shared" si="37"/>
        <v>563</v>
      </c>
      <c r="AI14" s="224">
        <f t="shared" si="38"/>
        <v>651</v>
      </c>
      <c r="AJ14" s="225">
        <f t="shared" si="39"/>
        <v>727</v>
      </c>
      <c r="AK14" s="220">
        <f t="shared" si="40"/>
        <v>350</v>
      </c>
      <c r="AL14" s="221">
        <f t="shared" si="41"/>
        <v>376</v>
      </c>
      <c r="AM14" s="221">
        <f t="shared" si="42"/>
        <v>450</v>
      </c>
      <c r="AN14" s="221">
        <f t="shared" si="43"/>
        <v>520</v>
      </c>
      <c r="AO14" s="222">
        <f t="shared" si="44"/>
        <v>581</v>
      </c>
      <c r="AP14" s="223">
        <f t="shared" si="45"/>
        <v>262</v>
      </c>
      <c r="AQ14" s="224">
        <f t="shared" si="46"/>
        <v>282</v>
      </c>
      <c r="AR14" s="224">
        <f t="shared" si="47"/>
        <v>337</v>
      </c>
      <c r="AS14" s="224">
        <f t="shared" si="48"/>
        <v>390</v>
      </c>
      <c r="AT14" s="225">
        <f t="shared" si="49"/>
        <v>436</v>
      </c>
    </row>
    <row r="15" spans="1:46" x14ac:dyDescent="0.2">
      <c r="A15" s="11"/>
      <c r="B15" s="11" t="s">
        <v>49</v>
      </c>
      <c r="C15" s="220">
        <f t="shared" si="12"/>
        <v>22440</v>
      </c>
      <c r="D15" s="221">
        <f t="shared" si="13"/>
        <v>25620</v>
      </c>
      <c r="E15" s="221">
        <f t="shared" si="14"/>
        <v>28800</v>
      </c>
      <c r="F15" s="221">
        <f t="shared" si="15"/>
        <v>31980</v>
      </c>
      <c r="G15" s="221">
        <f t="shared" si="16"/>
        <v>34560</v>
      </c>
      <c r="H15" s="222">
        <f t="shared" si="17"/>
        <v>37140</v>
      </c>
      <c r="I15" s="217">
        <f>'MTSP Income Limits'!G13</f>
        <v>18700</v>
      </c>
      <c r="J15" s="218">
        <f>'MTSP Income Limits'!H13</f>
        <v>21350</v>
      </c>
      <c r="K15" s="218">
        <f>'MTSP Income Limits'!I13</f>
        <v>24000</v>
      </c>
      <c r="L15" s="218">
        <f>'MTSP Income Limits'!J13</f>
        <v>26650</v>
      </c>
      <c r="M15" s="218">
        <f>'MTSP Income Limits'!K13</f>
        <v>28800</v>
      </c>
      <c r="N15" s="219">
        <f>'MTSP Income Limits'!L13</f>
        <v>30950</v>
      </c>
      <c r="O15" s="220">
        <f t="shared" si="18"/>
        <v>14960</v>
      </c>
      <c r="P15" s="221">
        <f t="shared" si="19"/>
        <v>17080</v>
      </c>
      <c r="Q15" s="221">
        <f t="shared" si="20"/>
        <v>19200</v>
      </c>
      <c r="R15" s="221">
        <f t="shared" si="21"/>
        <v>21320</v>
      </c>
      <c r="S15" s="221">
        <f t="shared" si="22"/>
        <v>23040</v>
      </c>
      <c r="T15" s="222">
        <f t="shared" si="23"/>
        <v>24760</v>
      </c>
      <c r="U15" s="223">
        <f t="shared" si="24"/>
        <v>11220</v>
      </c>
      <c r="V15" s="224">
        <f t="shared" si="25"/>
        <v>12810</v>
      </c>
      <c r="W15" s="224">
        <f t="shared" si="26"/>
        <v>14400</v>
      </c>
      <c r="X15" s="224">
        <f t="shared" si="27"/>
        <v>15990</v>
      </c>
      <c r="Y15" s="224">
        <f t="shared" si="28"/>
        <v>17280</v>
      </c>
      <c r="Z15" s="224">
        <f t="shared" si="29"/>
        <v>18570</v>
      </c>
      <c r="AA15" s="220">
        <f t="shared" si="30"/>
        <v>560</v>
      </c>
      <c r="AB15" s="221">
        <f t="shared" si="31"/>
        <v>600</v>
      </c>
      <c r="AC15" s="221">
        <f t="shared" si="32"/>
        <v>720</v>
      </c>
      <c r="AD15" s="221">
        <f t="shared" si="33"/>
        <v>831</v>
      </c>
      <c r="AE15" s="222">
        <f t="shared" si="34"/>
        <v>927</v>
      </c>
      <c r="AF15" s="223">
        <f t="shared" si="35"/>
        <v>467</v>
      </c>
      <c r="AG15" s="224">
        <f t="shared" si="36"/>
        <v>500</v>
      </c>
      <c r="AH15" s="224">
        <f t="shared" si="37"/>
        <v>600</v>
      </c>
      <c r="AI15" s="224">
        <f t="shared" si="38"/>
        <v>693</v>
      </c>
      <c r="AJ15" s="225">
        <f t="shared" si="39"/>
        <v>773</v>
      </c>
      <c r="AK15" s="220">
        <f t="shared" si="40"/>
        <v>373</v>
      </c>
      <c r="AL15" s="221">
        <f t="shared" si="41"/>
        <v>400</v>
      </c>
      <c r="AM15" s="221">
        <f t="shared" si="42"/>
        <v>480</v>
      </c>
      <c r="AN15" s="221">
        <f t="shared" si="43"/>
        <v>554</v>
      </c>
      <c r="AO15" s="222">
        <f t="shared" si="44"/>
        <v>618</v>
      </c>
      <c r="AP15" s="223">
        <f t="shared" si="45"/>
        <v>280</v>
      </c>
      <c r="AQ15" s="224">
        <f t="shared" si="46"/>
        <v>300</v>
      </c>
      <c r="AR15" s="224">
        <f t="shared" si="47"/>
        <v>360</v>
      </c>
      <c r="AS15" s="224">
        <f t="shared" si="48"/>
        <v>415</v>
      </c>
      <c r="AT15" s="225">
        <f t="shared" si="49"/>
        <v>463</v>
      </c>
    </row>
    <row r="16" spans="1:46" x14ac:dyDescent="0.2">
      <c r="A16" s="11"/>
      <c r="B16" s="11" t="s">
        <v>50</v>
      </c>
      <c r="C16" s="220">
        <f t="shared" si="12"/>
        <v>20760</v>
      </c>
      <c r="D16" s="221">
        <f t="shared" si="13"/>
        <v>23760</v>
      </c>
      <c r="E16" s="221">
        <f t="shared" si="14"/>
        <v>26700</v>
      </c>
      <c r="F16" s="221">
        <f t="shared" si="15"/>
        <v>29640</v>
      </c>
      <c r="G16" s="221">
        <f t="shared" si="16"/>
        <v>32040</v>
      </c>
      <c r="H16" s="222">
        <f t="shared" si="17"/>
        <v>34440</v>
      </c>
      <c r="I16" s="217">
        <f>'MTSP Income Limits'!G14</f>
        <v>17300</v>
      </c>
      <c r="J16" s="218">
        <f>'MTSP Income Limits'!H14</f>
        <v>19800</v>
      </c>
      <c r="K16" s="218">
        <f>'MTSP Income Limits'!I14</f>
        <v>22250</v>
      </c>
      <c r="L16" s="218">
        <f>'MTSP Income Limits'!J14</f>
        <v>24700</v>
      </c>
      <c r="M16" s="218">
        <f>'MTSP Income Limits'!K14</f>
        <v>26700</v>
      </c>
      <c r="N16" s="219">
        <f>'MTSP Income Limits'!L14</f>
        <v>28700</v>
      </c>
      <c r="O16" s="220">
        <f t="shared" si="18"/>
        <v>13840</v>
      </c>
      <c r="P16" s="221">
        <f t="shared" si="19"/>
        <v>15840</v>
      </c>
      <c r="Q16" s="221">
        <f t="shared" si="20"/>
        <v>17800</v>
      </c>
      <c r="R16" s="221">
        <f t="shared" si="21"/>
        <v>19760</v>
      </c>
      <c r="S16" s="221">
        <f t="shared" si="22"/>
        <v>21360</v>
      </c>
      <c r="T16" s="222">
        <f t="shared" si="23"/>
        <v>22960</v>
      </c>
      <c r="U16" s="223">
        <f t="shared" si="24"/>
        <v>10380</v>
      </c>
      <c r="V16" s="224">
        <f t="shared" si="25"/>
        <v>11880</v>
      </c>
      <c r="W16" s="224">
        <f t="shared" si="26"/>
        <v>13350</v>
      </c>
      <c r="X16" s="224">
        <f t="shared" si="27"/>
        <v>14820</v>
      </c>
      <c r="Y16" s="224">
        <f t="shared" si="28"/>
        <v>16020</v>
      </c>
      <c r="Z16" s="224">
        <f t="shared" si="29"/>
        <v>17220</v>
      </c>
      <c r="AA16" s="220">
        <f t="shared" si="30"/>
        <v>518</v>
      </c>
      <c r="AB16" s="221">
        <f t="shared" si="31"/>
        <v>555</v>
      </c>
      <c r="AC16" s="221">
        <f t="shared" si="32"/>
        <v>667</v>
      </c>
      <c r="AD16" s="221">
        <f t="shared" si="33"/>
        <v>770</v>
      </c>
      <c r="AE16" s="222">
        <f t="shared" si="34"/>
        <v>860</v>
      </c>
      <c r="AF16" s="223">
        <f t="shared" si="35"/>
        <v>432</v>
      </c>
      <c r="AG16" s="224">
        <f t="shared" si="36"/>
        <v>463</v>
      </c>
      <c r="AH16" s="224">
        <f t="shared" si="37"/>
        <v>556</v>
      </c>
      <c r="AI16" s="224">
        <f t="shared" si="38"/>
        <v>642</v>
      </c>
      <c r="AJ16" s="225">
        <f t="shared" si="39"/>
        <v>717</v>
      </c>
      <c r="AK16" s="220">
        <f t="shared" si="40"/>
        <v>345</v>
      </c>
      <c r="AL16" s="221">
        <f t="shared" si="41"/>
        <v>370</v>
      </c>
      <c r="AM16" s="221">
        <f t="shared" si="42"/>
        <v>444</v>
      </c>
      <c r="AN16" s="221">
        <f t="shared" si="43"/>
        <v>513</v>
      </c>
      <c r="AO16" s="222">
        <f t="shared" si="44"/>
        <v>573</v>
      </c>
      <c r="AP16" s="223">
        <f t="shared" si="45"/>
        <v>259</v>
      </c>
      <c r="AQ16" s="224">
        <f t="shared" si="46"/>
        <v>277</v>
      </c>
      <c r="AR16" s="224">
        <f t="shared" si="47"/>
        <v>333</v>
      </c>
      <c r="AS16" s="224">
        <f t="shared" si="48"/>
        <v>385</v>
      </c>
      <c r="AT16" s="225">
        <f t="shared" si="49"/>
        <v>430</v>
      </c>
    </row>
    <row r="17" spans="1:46" x14ac:dyDescent="0.2">
      <c r="A17" s="11"/>
      <c r="B17" s="11" t="s">
        <v>51</v>
      </c>
      <c r="C17" s="220">
        <f t="shared" si="12"/>
        <v>20760</v>
      </c>
      <c r="D17" s="221">
        <f t="shared" si="13"/>
        <v>23760</v>
      </c>
      <c r="E17" s="221">
        <f t="shared" si="14"/>
        <v>26700</v>
      </c>
      <c r="F17" s="221">
        <f t="shared" si="15"/>
        <v>29640</v>
      </c>
      <c r="G17" s="221">
        <f t="shared" si="16"/>
        <v>32040</v>
      </c>
      <c r="H17" s="222">
        <f t="shared" si="17"/>
        <v>34440</v>
      </c>
      <c r="I17" s="217">
        <f>'MTSP Income Limits'!G15</f>
        <v>17300</v>
      </c>
      <c r="J17" s="218">
        <f>'MTSP Income Limits'!H15</f>
        <v>19800</v>
      </c>
      <c r="K17" s="218">
        <f>'MTSP Income Limits'!I15</f>
        <v>22250</v>
      </c>
      <c r="L17" s="218">
        <f>'MTSP Income Limits'!J15</f>
        <v>24700</v>
      </c>
      <c r="M17" s="218">
        <f>'MTSP Income Limits'!K15</f>
        <v>26700</v>
      </c>
      <c r="N17" s="219">
        <f>'MTSP Income Limits'!L15</f>
        <v>28700</v>
      </c>
      <c r="O17" s="220">
        <f t="shared" si="18"/>
        <v>13840</v>
      </c>
      <c r="P17" s="221">
        <f t="shared" si="19"/>
        <v>15840</v>
      </c>
      <c r="Q17" s="221">
        <f t="shared" si="20"/>
        <v>17800</v>
      </c>
      <c r="R17" s="221">
        <f t="shared" si="21"/>
        <v>19760</v>
      </c>
      <c r="S17" s="221">
        <f t="shared" si="22"/>
        <v>21360</v>
      </c>
      <c r="T17" s="222">
        <f t="shared" si="23"/>
        <v>22960</v>
      </c>
      <c r="U17" s="223">
        <f t="shared" si="24"/>
        <v>10380</v>
      </c>
      <c r="V17" s="224">
        <f t="shared" si="25"/>
        <v>11880</v>
      </c>
      <c r="W17" s="224">
        <f t="shared" si="26"/>
        <v>13350</v>
      </c>
      <c r="X17" s="224">
        <f t="shared" si="27"/>
        <v>14820</v>
      </c>
      <c r="Y17" s="224">
        <f t="shared" si="28"/>
        <v>16020</v>
      </c>
      <c r="Z17" s="224">
        <f t="shared" si="29"/>
        <v>17220</v>
      </c>
      <c r="AA17" s="220">
        <f t="shared" si="30"/>
        <v>518</v>
      </c>
      <c r="AB17" s="221">
        <f t="shared" si="31"/>
        <v>555</v>
      </c>
      <c r="AC17" s="221">
        <f t="shared" si="32"/>
        <v>667</v>
      </c>
      <c r="AD17" s="221">
        <f t="shared" si="33"/>
        <v>770</v>
      </c>
      <c r="AE17" s="222">
        <f t="shared" si="34"/>
        <v>860</v>
      </c>
      <c r="AF17" s="223">
        <f t="shared" si="35"/>
        <v>432</v>
      </c>
      <c r="AG17" s="224">
        <f t="shared" si="36"/>
        <v>463</v>
      </c>
      <c r="AH17" s="224">
        <f t="shared" si="37"/>
        <v>556</v>
      </c>
      <c r="AI17" s="224">
        <f t="shared" si="38"/>
        <v>642</v>
      </c>
      <c r="AJ17" s="225">
        <f t="shared" si="39"/>
        <v>717</v>
      </c>
      <c r="AK17" s="220">
        <f t="shared" si="40"/>
        <v>345</v>
      </c>
      <c r="AL17" s="221">
        <f t="shared" si="41"/>
        <v>370</v>
      </c>
      <c r="AM17" s="221">
        <f t="shared" si="42"/>
        <v>444</v>
      </c>
      <c r="AN17" s="221">
        <f t="shared" si="43"/>
        <v>513</v>
      </c>
      <c r="AO17" s="222">
        <f t="shared" si="44"/>
        <v>573</v>
      </c>
      <c r="AP17" s="223">
        <f t="shared" si="45"/>
        <v>259</v>
      </c>
      <c r="AQ17" s="224">
        <f t="shared" si="46"/>
        <v>277</v>
      </c>
      <c r="AR17" s="224">
        <f t="shared" si="47"/>
        <v>333</v>
      </c>
      <c r="AS17" s="224">
        <f t="shared" si="48"/>
        <v>385</v>
      </c>
      <c r="AT17" s="225">
        <f t="shared" si="49"/>
        <v>430</v>
      </c>
    </row>
    <row r="18" spans="1:46" x14ac:dyDescent="0.2">
      <c r="A18" s="11"/>
      <c r="B18" s="11" t="s">
        <v>52</v>
      </c>
      <c r="C18" s="220">
        <f t="shared" si="12"/>
        <v>25080</v>
      </c>
      <c r="D18" s="221">
        <f t="shared" si="13"/>
        <v>28620</v>
      </c>
      <c r="E18" s="221">
        <f t="shared" si="14"/>
        <v>32220</v>
      </c>
      <c r="F18" s="221">
        <f t="shared" si="15"/>
        <v>35760</v>
      </c>
      <c r="G18" s="221">
        <f t="shared" si="16"/>
        <v>38640</v>
      </c>
      <c r="H18" s="222">
        <f t="shared" si="17"/>
        <v>41520</v>
      </c>
      <c r="I18" s="217">
        <f>'MTSP Income Limits'!G16</f>
        <v>20900</v>
      </c>
      <c r="J18" s="218">
        <f>'MTSP Income Limits'!H16</f>
        <v>23850</v>
      </c>
      <c r="K18" s="218">
        <f>'MTSP Income Limits'!I16</f>
        <v>26850</v>
      </c>
      <c r="L18" s="218">
        <f>'MTSP Income Limits'!J16</f>
        <v>29800</v>
      </c>
      <c r="M18" s="218">
        <f>'MTSP Income Limits'!K16</f>
        <v>32200</v>
      </c>
      <c r="N18" s="219">
        <f>'MTSP Income Limits'!L16</f>
        <v>34600</v>
      </c>
      <c r="O18" s="220">
        <f t="shared" si="18"/>
        <v>16720</v>
      </c>
      <c r="P18" s="221">
        <f t="shared" si="19"/>
        <v>19080</v>
      </c>
      <c r="Q18" s="221">
        <f t="shared" si="20"/>
        <v>21480</v>
      </c>
      <c r="R18" s="221">
        <f t="shared" si="21"/>
        <v>23840</v>
      </c>
      <c r="S18" s="221">
        <f t="shared" si="22"/>
        <v>25760</v>
      </c>
      <c r="T18" s="222">
        <f t="shared" si="23"/>
        <v>27680</v>
      </c>
      <c r="U18" s="223">
        <f t="shared" si="24"/>
        <v>12540</v>
      </c>
      <c r="V18" s="224">
        <f t="shared" si="25"/>
        <v>14310</v>
      </c>
      <c r="W18" s="224">
        <f t="shared" si="26"/>
        <v>16110</v>
      </c>
      <c r="X18" s="224">
        <f t="shared" si="27"/>
        <v>17880</v>
      </c>
      <c r="Y18" s="224">
        <f t="shared" si="28"/>
        <v>19320</v>
      </c>
      <c r="Z18" s="224">
        <f t="shared" si="29"/>
        <v>20760</v>
      </c>
      <c r="AA18" s="220">
        <f t="shared" si="30"/>
        <v>626</v>
      </c>
      <c r="AB18" s="221">
        <f t="shared" si="31"/>
        <v>670</v>
      </c>
      <c r="AC18" s="221">
        <f t="shared" si="32"/>
        <v>805</v>
      </c>
      <c r="AD18" s="221">
        <f t="shared" si="33"/>
        <v>930</v>
      </c>
      <c r="AE18" s="222">
        <f t="shared" si="34"/>
        <v>1038</v>
      </c>
      <c r="AF18" s="223">
        <f t="shared" si="35"/>
        <v>522</v>
      </c>
      <c r="AG18" s="224">
        <f t="shared" si="36"/>
        <v>559</v>
      </c>
      <c r="AH18" s="224">
        <f t="shared" si="37"/>
        <v>671</v>
      </c>
      <c r="AI18" s="224">
        <f t="shared" si="38"/>
        <v>775</v>
      </c>
      <c r="AJ18" s="225">
        <f t="shared" si="39"/>
        <v>865</v>
      </c>
      <c r="AK18" s="220">
        <f t="shared" si="40"/>
        <v>417</v>
      </c>
      <c r="AL18" s="221">
        <f t="shared" si="41"/>
        <v>447</v>
      </c>
      <c r="AM18" s="221">
        <f t="shared" si="42"/>
        <v>536</v>
      </c>
      <c r="AN18" s="221">
        <f t="shared" si="43"/>
        <v>620</v>
      </c>
      <c r="AO18" s="222">
        <f t="shared" si="44"/>
        <v>692</v>
      </c>
      <c r="AP18" s="223">
        <f t="shared" si="45"/>
        <v>313</v>
      </c>
      <c r="AQ18" s="224">
        <f t="shared" si="46"/>
        <v>335</v>
      </c>
      <c r="AR18" s="224">
        <f t="shared" si="47"/>
        <v>402</v>
      </c>
      <c r="AS18" s="224">
        <f t="shared" si="48"/>
        <v>465</v>
      </c>
      <c r="AT18" s="225">
        <f t="shared" si="49"/>
        <v>519</v>
      </c>
    </row>
    <row r="19" spans="1:46" x14ac:dyDescent="0.2">
      <c r="A19" s="11"/>
      <c r="B19" s="11" t="s">
        <v>53</v>
      </c>
      <c r="C19" s="220">
        <f t="shared" si="12"/>
        <v>23520</v>
      </c>
      <c r="D19" s="221">
        <f t="shared" si="13"/>
        <v>26880</v>
      </c>
      <c r="E19" s="221">
        <f t="shared" si="14"/>
        <v>30240</v>
      </c>
      <c r="F19" s="221">
        <f t="shared" si="15"/>
        <v>33600</v>
      </c>
      <c r="G19" s="221">
        <f t="shared" si="16"/>
        <v>36300</v>
      </c>
      <c r="H19" s="222">
        <f t="shared" si="17"/>
        <v>39000</v>
      </c>
      <c r="I19" s="217">
        <f>'MTSP Income Limits'!G17</f>
        <v>19600</v>
      </c>
      <c r="J19" s="218">
        <f>'MTSP Income Limits'!H17</f>
        <v>22400</v>
      </c>
      <c r="K19" s="218">
        <f>'MTSP Income Limits'!I17</f>
        <v>25200</v>
      </c>
      <c r="L19" s="218">
        <f>'MTSP Income Limits'!J17</f>
        <v>28000</v>
      </c>
      <c r="M19" s="218">
        <f>'MTSP Income Limits'!K17</f>
        <v>30250</v>
      </c>
      <c r="N19" s="219">
        <f>'MTSP Income Limits'!L17</f>
        <v>32500</v>
      </c>
      <c r="O19" s="220">
        <f t="shared" si="18"/>
        <v>15680</v>
      </c>
      <c r="P19" s="221">
        <f t="shared" si="19"/>
        <v>17920</v>
      </c>
      <c r="Q19" s="221">
        <f t="shared" si="20"/>
        <v>20160</v>
      </c>
      <c r="R19" s="221">
        <f t="shared" si="21"/>
        <v>22400</v>
      </c>
      <c r="S19" s="221">
        <f t="shared" si="22"/>
        <v>24200</v>
      </c>
      <c r="T19" s="222">
        <f t="shared" si="23"/>
        <v>26000</v>
      </c>
      <c r="U19" s="223">
        <f t="shared" si="24"/>
        <v>11760</v>
      </c>
      <c r="V19" s="224">
        <f t="shared" si="25"/>
        <v>13440</v>
      </c>
      <c r="W19" s="224">
        <f t="shared" si="26"/>
        <v>15120</v>
      </c>
      <c r="X19" s="224">
        <f t="shared" si="27"/>
        <v>16800</v>
      </c>
      <c r="Y19" s="224">
        <f t="shared" si="28"/>
        <v>18150</v>
      </c>
      <c r="Z19" s="224">
        <f t="shared" si="29"/>
        <v>19500</v>
      </c>
      <c r="AA19" s="220">
        <f t="shared" si="30"/>
        <v>588</v>
      </c>
      <c r="AB19" s="221">
        <f t="shared" si="31"/>
        <v>630</v>
      </c>
      <c r="AC19" s="221">
        <f t="shared" si="32"/>
        <v>756</v>
      </c>
      <c r="AD19" s="221">
        <f t="shared" si="33"/>
        <v>873</v>
      </c>
      <c r="AE19" s="222">
        <f t="shared" si="34"/>
        <v>974</v>
      </c>
      <c r="AF19" s="223">
        <f t="shared" si="35"/>
        <v>490</v>
      </c>
      <c r="AG19" s="224">
        <f t="shared" si="36"/>
        <v>525</v>
      </c>
      <c r="AH19" s="224">
        <f t="shared" si="37"/>
        <v>630</v>
      </c>
      <c r="AI19" s="224">
        <f t="shared" si="38"/>
        <v>728</v>
      </c>
      <c r="AJ19" s="225">
        <f t="shared" si="39"/>
        <v>812</v>
      </c>
      <c r="AK19" s="220">
        <f t="shared" si="40"/>
        <v>392</v>
      </c>
      <c r="AL19" s="221">
        <f t="shared" si="41"/>
        <v>420</v>
      </c>
      <c r="AM19" s="221">
        <f t="shared" si="42"/>
        <v>504</v>
      </c>
      <c r="AN19" s="221">
        <f t="shared" si="43"/>
        <v>582</v>
      </c>
      <c r="AO19" s="222">
        <f t="shared" si="44"/>
        <v>649</v>
      </c>
      <c r="AP19" s="223">
        <f t="shared" si="45"/>
        <v>294</v>
      </c>
      <c r="AQ19" s="224">
        <f t="shared" si="46"/>
        <v>315</v>
      </c>
      <c r="AR19" s="224">
        <f t="shared" si="47"/>
        <v>378</v>
      </c>
      <c r="AS19" s="224">
        <f t="shared" si="48"/>
        <v>436</v>
      </c>
      <c r="AT19" s="225">
        <f t="shared" si="49"/>
        <v>487</v>
      </c>
    </row>
    <row r="20" spans="1:46" x14ac:dyDescent="0.2">
      <c r="A20" s="11"/>
      <c r="B20" s="11" t="s">
        <v>54</v>
      </c>
      <c r="C20" s="220">
        <f t="shared" si="12"/>
        <v>20760</v>
      </c>
      <c r="D20" s="221">
        <f t="shared" si="13"/>
        <v>23760</v>
      </c>
      <c r="E20" s="221">
        <f t="shared" si="14"/>
        <v>26700</v>
      </c>
      <c r="F20" s="221">
        <f t="shared" si="15"/>
        <v>29640</v>
      </c>
      <c r="G20" s="221">
        <f t="shared" si="16"/>
        <v>32040</v>
      </c>
      <c r="H20" s="222">
        <f t="shared" si="17"/>
        <v>34440</v>
      </c>
      <c r="I20" s="217">
        <f>'MTSP Income Limits'!G18</f>
        <v>17300</v>
      </c>
      <c r="J20" s="218">
        <f>'MTSP Income Limits'!H18</f>
        <v>19800</v>
      </c>
      <c r="K20" s="218">
        <f>'MTSP Income Limits'!I18</f>
        <v>22250</v>
      </c>
      <c r="L20" s="218">
        <f>'MTSP Income Limits'!J18</f>
        <v>24700</v>
      </c>
      <c r="M20" s="218">
        <f>'MTSP Income Limits'!K18</f>
        <v>26700</v>
      </c>
      <c r="N20" s="219">
        <f>'MTSP Income Limits'!L18</f>
        <v>28700</v>
      </c>
      <c r="O20" s="220">
        <f t="shared" si="18"/>
        <v>13840</v>
      </c>
      <c r="P20" s="221">
        <f t="shared" si="19"/>
        <v>15840</v>
      </c>
      <c r="Q20" s="221">
        <f t="shared" si="20"/>
        <v>17800</v>
      </c>
      <c r="R20" s="221">
        <f t="shared" si="21"/>
        <v>19760</v>
      </c>
      <c r="S20" s="221">
        <f t="shared" si="22"/>
        <v>21360</v>
      </c>
      <c r="T20" s="222">
        <f t="shared" si="23"/>
        <v>22960</v>
      </c>
      <c r="U20" s="223">
        <f t="shared" si="24"/>
        <v>10380</v>
      </c>
      <c r="V20" s="224">
        <f t="shared" si="25"/>
        <v>11880</v>
      </c>
      <c r="W20" s="224">
        <f t="shared" si="26"/>
        <v>13350</v>
      </c>
      <c r="X20" s="224">
        <f t="shared" si="27"/>
        <v>14820</v>
      </c>
      <c r="Y20" s="224">
        <f t="shared" si="28"/>
        <v>16020</v>
      </c>
      <c r="Z20" s="224">
        <f t="shared" si="29"/>
        <v>17220</v>
      </c>
      <c r="AA20" s="220">
        <f t="shared" si="30"/>
        <v>518</v>
      </c>
      <c r="AB20" s="221">
        <f t="shared" si="31"/>
        <v>555</v>
      </c>
      <c r="AC20" s="221">
        <f t="shared" si="32"/>
        <v>667</v>
      </c>
      <c r="AD20" s="221">
        <f t="shared" si="33"/>
        <v>770</v>
      </c>
      <c r="AE20" s="222">
        <f t="shared" si="34"/>
        <v>860</v>
      </c>
      <c r="AF20" s="223">
        <f t="shared" si="35"/>
        <v>432</v>
      </c>
      <c r="AG20" s="224">
        <f t="shared" si="36"/>
        <v>463</v>
      </c>
      <c r="AH20" s="224">
        <f t="shared" si="37"/>
        <v>556</v>
      </c>
      <c r="AI20" s="224">
        <f t="shared" si="38"/>
        <v>642</v>
      </c>
      <c r="AJ20" s="225">
        <f t="shared" si="39"/>
        <v>717</v>
      </c>
      <c r="AK20" s="220">
        <f t="shared" si="40"/>
        <v>345</v>
      </c>
      <c r="AL20" s="221">
        <f t="shared" si="41"/>
        <v>370</v>
      </c>
      <c r="AM20" s="221">
        <f t="shared" si="42"/>
        <v>444</v>
      </c>
      <c r="AN20" s="221">
        <f t="shared" si="43"/>
        <v>513</v>
      </c>
      <c r="AO20" s="222">
        <f t="shared" si="44"/>
        <v>573</v>
      </c>
      <c r="AP20" s="223">
        <f t="shared" si="45"/>
        <v>259</v>
      </c>
      <c r="AQ20" s="224">
        <f t="shared" si="46"/>
        <v>277</v>
      </c>
      <c r="AR20" s="224">
        <f t="shared" si="47"/>
        <v>333</v>
      </c>
      <c r="AS20" s="224">
        <f t="shared" si="48"/>
        <v>385</v>
      </c>
      <c r="AT20" s="225">
        <f t="shared" si="49"/>
        <v>430</v>
      </c>
    </row>
    <row r="21" spans="1:46" x14ac:dyDescent="0.2">
      <c r="A21" s="11"/>
      <c r="B21" s="11" t="s">
        <v>55</v>
      </c>
      <c r="C21" s="220">
        <f t="shared" si="12"/>
        <v>27000</v>
      </c>
      <c r="D21" s="221">
        <f t="shared" si="13"/>
        <v>30840</v>
      </c>
      <c r="E21" s="221">
        <f t="shared" si="14"/>
        <v>34680</v>
      </c>
      <c r="F21" s="221">
        <f t="shared" si="15"/>
        <v>38520</v>
      </c>
      <c r="G21" s="221">
        <f t="shared" si="16"/>
        <v>41640</v>
      </c>
      <c r="H21" s="222">
        <f t="shared" si="17"/>
        <v>44700</v>
      </c>
      <c r="I21" s="217">
        <f>'MTSP Income Limits'!G19</f>
        <v>22500</v>
      </c>
      <c r="J21" s="218">
        <f>'MTSP Income Limits'!H19</f>
        <v>25700</v>
      </c>
      <c r="K21" s="218">
        <f>'MTSP Income Limits'!I19</f>
        <v>28900</v>
      </c>
      <c r="L21" s="218">
        <f>'MTSP Income Limits'!J19</f>
        <v>32100</v>
      </c>
      <c r="M21" s="218">
        <f>'MTSP Income Limits'!K19</f>
        <v>34700</v>
      </c>
      <c r="N21" s="219">
        <f>'MTSP Income Limits'!L19</f>
        <v>37250</v>
      </c>
      <c r="O21" s="220">
        <f t="shared" si="18"/>
        <v>18000</v>
      </c>
      <c r="P21" s="221">
        <f t="shared" si="19"/>
        <v>20560</v>
      </c>
      <c r="Q21" s="221">
        <f t="shared" si="20"/>
        <v>23120</v>
      </c>
      <c r="R21" s="221">
        <f t="shared" si="21"/>
        <v>25680</v>
      </c>
      <c r="S21" s="221">
        <f t="shared" si="22"/>
        <v>27760</v>
      </c>
      <c r="T21" s="222">
        <f t="shared" si="23"/>
        <v>29800</v>
      </c>
      <c r="U21" s="223">
        <f t="shared" si="24"/>
        <v>13500</v>
      </c>
      <c r="V21" s="224">
        <f t="shared" si="25"/>
        <v>15420</v>
      </c>
      <c r="W21" s="224">
        <f t="shared" si="26"/>
        <v>17340</v>
      </c>
      <c r="X21" s="224">
        <f t="shared" si="27"/>
        <v>19260</v>
      </c>
      <c r="Y21" s="224">
        <f t="shared" si="28"/>
        <v>20820</v>
      </c>
      <c r="Z21" s="224">
        <f t="shared" si="29"/>
        <v>22350</v>
      </c>
      <c r="AA21" s="220">
        <f t="shared" si="30"/>
        <v>674</v>
      </c>
      <c r="AB21" s="221">
        <f t="shared" si="31"/>
        <v>722</v>
      </c>
      <c r="AC21" s="221">
        <f t="shared" si="32"/>
        <v>866</v>
      </c>
      <c r="AD21" s="221">
        <f t="shared" si="33"/>
        <v>1002</v>
      </c>
      <c r="AE21" s="222">
        <f t="shared" si="34"/>
        <v>1117</v>
      </c>
      <c r="AF21" s="223">
        <f t="shared" si="35"/>
        <v>562</v>
      </c>
      <c r="AG21" s="224">
        <f t="shared" si="36"/>
        <v>602</v>
      </c>
      <c r="AH21" s="224">
        <f t="shared" si="37"/>
        <v>722</v>
      </c>
      <c r="AI21" s="224">
        <f t="shared" si="38"/>
        <v>835</v>
      </c>
      <c r="AJ21" s="225">
        <f t="shared" si="39"/>
        <v>931</v>
      </c>
      <c r="AK21" s="220">
        <f t="shared" si="40"/>
        <v>449</v>
      </c>
      <c r="AL21" s="221">
        <f t="shared" si="41"/>
        <v>481</v>
      </c>
      <c r="AM21" s="221">
        <f t="shared" si="42"/>
        <v>577</v>
      </c>
      <c r="AN21" s="221">
        <f t="shared" si="43"/>
        <v>668</v>
      </c>
      <c r="AO21" s="222">
        <f t="shared" si="44"/>
        <v>744</v>
      </c>
      <c r="AP21" s="223">
        <f t="shared" si="45"/>
        <v>337</v>
      </c>
      <c r="AQ21" s="224">
        <f t="shared" si="46"/>
        <v>361</v>
      </c>
      <c r="AR21" s="224">
        <f t="shared" si="47"/>
        <v>433</v>
      </c>
      <c r="AS21" s="224">
        <f t="shared" si="48"/>
        <v>501</v>
      </c>
      <c r="AT21" s="225">
        <f t="shared" si="49"/>
        <v>558</v>
      </c>
    </row>
    <row r="22" spans="1:46" x14ac:dyDescent="0.2">
      <c r="A22" s="11"/>
      <c r="B22" s="11" t="s">
        <v>56</v>
      </c>
      <c r="C22" s="220">
        <f t="shared" si="12"/>
        <v>20760</v>
      </c>
      <c r="D22" s="221">
        <f t="shared" si="13"/>
        <v>23760</v>
      </c>
      <c r="E22" s="221">
        <f t="shared" si="14"/>
        <v>26700</v>
      </c>
      <c r="F22" s="221">
        <f t="shared" si="15"/>
        <v>29640</v>
      </c>
      <c r="G22" s="221">
        <f t="shared" si="16"/>
        <v>32040</v>
      </c>
      <c r="H22" s="222">
        <f t="shared" si="17"/>
        <v>34440</v>
      </c>
      <c r="I22" s="217">
        <f>'MTSP Income Limits'!G20</f>
        <v>17300</v>
      </c>
      <c r="J22" s="218">
        <f>'MTSP Income Limits'!H20</f>
        <v>19800</v>
      </c>
      <c r="K22" s="218">
        <f>'MTSP Income Limits'!I20</f>
        <v>22250</v>
      </c>
      <c r="L22" s="218">
        <f>'MTSP Income Limits'!J20</f>
        <v>24700</v>
      </c>
      <c r="M22" s="218">
        <f>'MTSP Income Limits'!K20</f>
        <v>26700</v>
      </c>
      <c r="N22" s="219">
        <f>'MTSP Income Limits'!L20</f>
        <v>28700</v>
      </c>
      <c r="O22" s="220">
        <f t="shared" si="18"/>
        <v>13840</v>
      </c>
      <c r="P22" s="221">
        <f t="shared" si="19"/>
        <v>15840</v>
      </c>
      <c r="Q22" s="221">
        <f t="shared" si="20"/>
        <v>17800</v>
      </c>
      <c r="R22" s="221">
        <f t="shared" si="21"/>
        <v>19760</v>
      </c>
      <c r="S22" s="221">
        <f t="shared" si="22"/>
        <v>21360</v>
      </c>
      <c r="T22" s="222">
        <f t="shared" si="23"/>
        <v>22960</v>
      </c>
      <c r="U22" s="223">
        <f t="shared" si="24"/>
        <v>10380</v>
      </c>
      <c r="V22" s="224">
        <f t="shared" si="25"/>
        <v>11880</v>
      </c>
      <c r="W22" s="224">
        <f t="shared" si="26"/>
        <v>13350</v>
      </c>
      <c r="X22" s="224">
        <f t="shared" si="27"/>
        <v>14820</v>
      </c>
      <c r="Y22" s="224">
        <f t="shared" si="28"/>
        <v>16020</v>
      </c>
      <c r="Z22" s="224">
        <f t="shared" si="29"/>
        <v>17220</v>
      </c>
      <c r="AA22" s="220">
        <f t="shared" si="30"/>
        <v>518</v>
      </c>
      <c r="AB22" s="221">
        <f t="shared" si="31"/>
        <v>555</v>
      </c>
      <c r="AC22" s="221">
        <f t="shared" si="32"/>
        <v>667</v>
      </c>
      <c r="AD22" s="221">
        <f t="shared" si="33"/>
        <v>770</v>
      </c>
      <c r="AE22" s="222">
        <f t="shared" si="34"/>
        <v>860</v>
      </c>
      <c r="AF22" s="223">
        <f t="shared" si="35"/>
        <v>432</v>
      </c>
      <c r="AG22" s="224">
        <f t="shared" si="36"/>
        <v>463</v>
      </c>
      <c r="AH22" s="224">
        <f t="shared" si="37"/>
        <v>556</v>
      </c>
      <c r="AI22" s="224">
        <f t="shared" si="38"/>
        <v>642</v>
      </c>
      <c r="AJ22" s="225">
        <f t="shared" si="39"/>
        <v>717</v>
      </c>
      <c r="AK22" s="220">
        <f t="shared" si="40"/>
        <v>345</v>
      </c>
      <c r="AL22" s="221">
        <f t="shared" si="41"/>
        <v>370</v>
      </c>
      <c r="AM22" s="221">
        <f t="shared" si="42"/>
        <v>444</v>
      </c>
      <c r="AN22" s="221">
        <f t="shared" si="43"/>
        <v>513</v>
      </c>
      <c r="AO22" s="222">
        <f t="shared" si="44"/>
        <v>573</v>
      </c>
      <c r="AP22" s="223">
        <f t="shared" si="45"/>
        <v>259</v>
      </c>
      <c r="AQ22" s="224">
        <f t="shared" si="46"/>
        <v>277</v>
      </c>
      <c r="AR22" s="224">
        <f t="shared" si="47"/>
        <v>333</v>
      </c>
      <c r="AS22" s="224">
        <f t="shared" si="48"/>
        <v>385</v>
      </c>
      <c r="AT22" s="225">
        <f t="shared" si="49"/>
        <v>430</v>
      </c>
    </row>
    <row r="23" spans="1:46" x14ac:dyDescent="0.2">
      <c r="A23" s="11"/>
      <c r="B23" s="11" t="s">
        <v>57</v>
      </c>
      <c r="C23" s="220">
        <f t="shared" si="12"/>
        <v>28740</v>
      </c>
      <c r="D23" s="221">
        <f t="shared" si="13"/>
        <v>32880</v>
      </c>
      <c r="E23" s="221">
        <f t="shared" si="14"/>
        <v>36960</v>
      </c>
      <c r="F23" s="221">
        <f t="shared" si="15"/>
        <v>41040</v>
      </c>
      <c r="G23" s="221">
        <f t="shared" si="16"/>
        <v>44340</v>
      </c>
      <c r="H23" s="222">
        <f t="shared" si="17"/>
        <v>47640</v>
      </c>
      <c r="I23" s="217">
        <f>'MTSP Income Limits'!G21</f>
        <v>23950</v>
      </c>
      <c r="J23" s="218">
        <f>'MTSP Income Limits'!H21</f>
        <v>27400</v>
      </c>
      <c r="K23" s="218">
        <f>'MTSP Income Limits'!I21</f>
        <v>30800</v>
      </c>
      <c r="L23" s="218">
        <f>'MTSP Income Limits'!J21</f>
        <v>34200</v>
      </c>
      <c r="M23" s="218">
        <f>'MTSP Income Limits'!K21</f>
        <v>36950</v>
      </c>
      <c r="N23" s="219">
        <f>'MTSP Income Limits'!L21</f>
        <v>39700</v>
      </c>
      <c r="O23" s="220">
        <f t="shared" si="18"/>
        <v>19160</v>
      </c>
      <c r="P23" s="221">
        <f t="shared" si="19"/>
        <v>21920</v>
      </c>
      <c r="Q23" s="221">
        <f t="shared" si="20"/>
        <v>24640</v>
      </c>
      <c r="R23" s="221">
        <f t="shared" si="21"/>
        <v>27360</v>
      </c>
      <c r="S23" s="221">
        <f t="shared" si="22"/>
        <v>29560</v>
      </c>
      <c r="T23" s="222">
        <f t="shared" si="23"/>
        <v>31760</v>
      </c>
      <c r="U23" s="223">
        <f t="shared" si="24"/>
        <v>14370</v>
      </c>
      <c r="V23" s="224">
        <f t="shared" si="25"/>
        <v>16440</v>
      </c>
      <c r="W23" s="224">
        <f t="shared" si="26"/>
        <v>18480</v>
      </c>
      <c r="X23" s="224">
        <f t="shared" si="27"/>
        <v>20520</v>
      </c>
      <c r="Y23" s="224">
        <f t="shared" si="28"/>
        <v>22170</v>
      </c>
      <c r="Z23" s="224">
        <f t="shared" si="29"/>
        <v>23820</v>
      </c>
      <c r="AA23" s="220">
        <f t="shared" si="30"/>
        <v>717</v>
      </c>
      <c r="AB23" s="221">
        <f t="shared" si="31"/>
        <v>769</v>
      </c>
      <c r="AC23" s="221">
        <f t="shared" si="32"/>
        <v>924</v>
      </c>
      <c r="AD23" s="221">
        <f t="shared" si="33"/>
        <v>1066</v>
      </c>
      <c r="AE23" s="222">
        <f t="shared" si="34"/>
        <v>1190</v>
      </c>
      <c r="AF23" s="223">
        <f t="shared" si="35"/>
        <v>598</v>
      </c>
      <c r="AG23" s="224">
        <f t="shared" si="36"/>
        <v>641</v>
      </c>
      <c r="AH23" s="224">
        <f t="shared" si="37"/>
        <v>770</v>
      </c>
      <c r="AI23" s="224">
        <f t="shared" si="38"/>
        <v>889</v>
      </c>
      <c r="AJ23" s="225">
        <f t="shared" si="39"/>
        <v>992</v>
      </c>
      <c r="AK23" s="220">
        <f t="shared" si="40"/>
        <v>478</v>
      </c>
      <c r="AL23" s="221">
        <f t="shared" si="41"/>
        <v>512</v>
      </c>
      <c r="AM23" s="221">
        <f t="shared" si="42"/>
        <v>616</v>
      </c>
      <c r="AN23" s="221">
        <f t="shared" si="43"/>
        <v>711</v>
      </c>
      <c r="AO23" s="222">
        <f t="shared" si="44"/>
        <v>793</v>
      </c>
      <c r="AP23" s="223">
        <f t="shared" si="45"/>
        <v>358</v>
      </c>
      <c r="AQ23" s="224">
        <f t="shared" si="46"/>
        <v>384</v>
      </c>
      <c r="AR23" s="224">
        <f t="shared" si="47"/>
        <v>462</v>
      </c>
      <c r="AS23" s="224">
        <f t="shared" si="48"/>
        <v>533</v>
      </c>
      <c r="AT23" s="225">
        <f t="shared" si="49"/>
        <v>595</v>
      </c>
    </row>
    <row r="24" spans="1:46" x14ac:dyDescent="0.2">
      <c r="A24" s="11"/>
      <c r="B24" s="11" t="s">
        <v>58</v>
      </c>
      <c r="C24" s="220">
        <f t="shared" si="12"/>
        <v>24480</v>
      </c>
      <c r="D24" s="221">
        <f t="shared" si="13"/>
        <v>27960</v>
      </c>
      <c r="E24" s="221">
        <f t="shared" si="14"/>
        <v>31440</v>
      </c>
      <c r="F24" s="221">
        <f t="shared" si="15"/>
        <v>34920</v>
      </c>
      <c r="G24" s="221">
        <f t="shared" si="16"/>
        <v>37740</v>
      </c>
      <c r="H24" s="222">
        <f t="shared" si="17"/>
        <v>40560</v>
      </c>
      <c r="I24" s="217">
        <f>'MTSP Income Limits'!G22</f>
        <v>20400</v>
      </c>
      <c r="J24" s="218">
        <f>'MTSP Income Limits'!H22</f>
        <v>23300</v>
      </c>
      <c r="K24" s="218">
        <f>'MTSP Income Limits'!I22</f>
        <v>26200</v>
      </c>
      <c r="L24" s="218">
        <f>'MTSP Income Limits'!J22</f>
        <v>29100</v>
      </c>
      <c r="M24" s="218">
        <f>'MTSP Income Limits'!K22</f>
        <v>31450</v>
      </c>
      <c r="N24" s="219">
        <f>'MTSP Income Limits'!L22</f>
        <v>33800</v>
      </c>
      <c r="O24" s="220">
        <f t="shared" si="18"/>
        <v>16320</v>
      </c>
      <c r="P24" s="221">
        <f t="shared" si="19"/>
        <v>18640</v>
      </c>
      <c r="Q24" s="221">
        <f t="shared" si="20"/>
        <v>20960</v>
      </c>
      <c r="R24" s="221">
        <f t="shared" si="21"/>
        <v>23280</v>
      </c>
      <c r="S24" s="221">
        <f t="shared" si="22"/>
        <v>25160</v>
      </c>
      <c r="T24" s="222">
        <f t="shared" si="23"/>
        <v>27040</v>
      </c>
      <c r="U24" s="223">
        <f t="shared" si="24"/>
        <v>12240</v>
      </c>
      <c r="V24" s="224">
        <f t="shared" si="25"/>
        <v>13980</v>
      </c>
      <c r="W24" s="224">
        <f t="shared" si="26"/>
        <v>15720</v>
      </c>
      <c r="X24" s="224">
        <f t="shared" si="27"/>
        <v>17460</v>
      </c>
      <c r="Y24" s="224">
        <f t="shared" si="28"/>
        <v>18870</v>
      </c>
      <c r="Z24" s="224">
        <f t="shared" si="29"/>
        <v>20280</v>
      </c>
      <c r="AA24" s="220">
        <f t="shared" si="30"/>
        <v>612</v>
      </c>
      <c r="AB24" s="221">
        <f t="shared" si="31"/>
        <v>655</v>
      </c>
      <c r="AC24" s="221">
        <f t="shared" si="32"/>
        <v>786</v>
      </c>
      <c r="AD24" s="221">
        <f t="shared" si="33"/>
        <v>907</v>
      </c>
      <c r="AE24" s="222">
        <f t="shared" si="34"/>
        <v>1014</v>
      </c>
      <c r="AF24" s="223">
        <f t="shared" si="35"/>
        <v>510</v>
      </c>
      <c r="AG24" s="224">
        <f t="shared" si="36"/>
        <v>546</v>
      </c>
      <c r="AH24" s="224">
        <f t="shared" si="37"/>
        <v>655</v>
      </c>
      <c r="AI24" s="224">
        <f t="shared" si="38"/>
        <v>756</v>
      </c>
      <c r="AJ24" s="225">
        <f t="shared" si="39"/>
        <v>845</v>
      </c>
      <c r="AK24" s="220">
        <f t="shared" si="40"/>
        <v>408</v>
      </c>
      <c r="AL24" s="221">
        <f t="shared" si="41"/>
        <v>436</v>
      </c>
      <c r="AM24" s="221">
        <f t="shared" si="42"/>
        <v>524</v>
      </c>
      <c r="AN24" s="221">
        <f t="shared" si="43"/>
        <v>604</v>
      </c>
      <c r="AO24" s="222">
        <f t="shared" si="44"/>
        <v>676</v>
      </c>
      <c r="AP24" s="223">
        <f t="shared" si="45"/>
        <v>306</v>
      </c>
      <c r="AQ24" s="224">
        <f t="shared" si="46"/>
        <v>327</v>
      </c>
      <c r="AR24" s="224">
        <f t="shared" si="47"/>
        <v>393</v>
      </c>
      <c r="AS24" s="224">
        <f t="shared" si="48"/>
        <v>453</v>
      </c>
      <c r="AT24" s="225">
        <f t="shared" si="49"/>
        <v>507</v>
      </c>
    </row>
    <row r="25" spans="1:46" x14ac:dyDescent="0.25">
      <c r="A25" s="11"/>
      <c r="B25" s="11" t="s">
        <v>59</v>
      </c>
      <c r="C25" s="220">
        <f t="shared" si="12"/>
        <v>20760</v>
      </c>
      <c r="D25" s="221">
        <f t="shared" si="13"/>
        <v>23760</v>
      </c>
      <c r="E25" s="221">
        <f t="shared" si="14"/>
        <v>26700</v>
      </c>
      <c r="F25" s="221">
        <f t="shared" si="15"/>
        <v>29640</v>
      </c>
      <c r="G25" s="221">
        <f t="shared" si="16"/>
        <v>32040</v>
      </c>
      <c r="H25" s="222">
        <f t="shared" si="17"/>
        <v>34440</v>
      </c>
      <c r="I25" s="217">
        <f>'MTSP Income Limits'!G23</f>
        <v>17300</v>
      </c>
      <c r="J25" s="218">
        <f>'MTSP Income Limits'!H23</f>
        <v>19800</v>
      </c>
      <c r="K25" s="218">
        <f>'MTSP Income Limits'!I23</f>
        <v>22250</v>
      </c>
      <c r="L25" s="218">
        <f>'MTSP Income Limits'!J23</f>
        <v>24700</v>
      </c>
      <c r="M25" s="218">
        <f>'MTSP Income Limits'!K23</f>
        <v>26700</v>
      </c>
      <c r="N25" s="219">
        <f>'MTSP Income Limits'!L23</f>
        <v>28700</v>
      </c>
      <c r="O25" s="220">
        <f t="shared" si="18"/>
        <v>13840</v>
      </c>
      <c r="P25" s="221">
        <f t="shared" si="19"/>
        <v>15840</v>
      </c>
      <c r="Q25" s="221">
        <f t="shared" si="20"/>
        <v>17800</v>
      </c>
      <c r="R25" s="221">
        <f t="shared" si="21"/>
        <v>19760</v>
      </c>
      <c r="S25" s="221">
        <f t="shared" si="22"/>
        <v>21360</v>
      </c>
      <c r="T25" s="222">
        <f t="shared" si="23"/>
        <v>22960</v>
      </c>
      <c r="U25" s="223">
        <f t="shared" si="24"/>
        <v>10380</v>
      </c>
      <c r="V25" s="224">
        <f t="shared" si="25"/>
        <v>11880</v>
      </c>
      <c r="W25" s="224">
        <f t="shared" si="26"/>
        <v>13350</v>
      </c>
      <c r="X25" s="224">
        <f t="shared" si="27"/>
        <v>14820</v>
      </c>
      <c r="Y25" s="224">
        <f t="shared" si="28"/>
        <v>16020</v>
      </c>
      <c r="Z25" s="224">
        <f t="shared" si="29"/>
        <v>17220</v>
      </c>
      <c r="AA25" s="220">
        <f t="shared" si="30"/>
        <v>518</v>
      </c>
      <c r="AB25" s="221">
        <f t="shared" si="31"/>
        <v>555</v>
      </c>
      <c r="AC25" s="221">
        <f t="shared" si="32"/>
        <v>667</v>
      </c>
      <c r="AD25" s="221">
        <f t="shared" si="33"/>
        <v>770</v>
      </c>
      <c r="AE25" s="222">
        <f t="shared" si="34"/>
        <v>860</v>
      </c>
      <c r="AF25" s="223">
        <f t="shared" si="35"/>
        <v>432</v>
      </c>
      <c r="AG25" s="224">
        <f t="shared" si="36"/>
        <v>463</v>
      </c>
      <c r="AH25" s="224">
        <f t="shared" si="37"/>
        <v>556</v>
      </c>
      <c r="AI25" s="224">
        <f t="shared" si="38"/>
        <v>642</v>
      </c>
      <c r="AJ25" s="225">
        <f t="shared" si="39"/>
        <v>717</v>
      </c>
      <c r="AK25" s="220">
        <f t="shared" si="40"/>
        <v>345</v>
      </c>
      <c r="AL25" s="221">
        <f t="shared" si="41"/>
        <v>370</v>
      </c>
      <c r="AM25" s="221">
        <f t="shared" si="42"/>
        <v>444</v>
      </c>
      <c r="AN25" s="221">
        <f t="shared" si="43"/>
        <v>513</v>
      </c>
      <c r="AO25" s="222">
        <f t="shared" si="44"/>
        <v>573</v>
      </c>
      <c r="AP25" s="223">
        <f t="shared" si="45"/>
        <v>259</v>
      </c>
      <c r="AQ25" s="224">
        <f t="shared" si="46"/>
        <v>277</v>
      </c>
      <c r="AR25" s="224">
        <f t="shared" si="47"/>
        <v>333</v>
      </c>
      <c r="AS25" s="224">
        <f t="shared" si="48"/>
        <v>385</v>
      </c>
      <c r="AT25" s="225">
        <f t="shared" si="49"/>
        <v>430</v>
      </c>
    </row>
    <row r="26" spans="1:46" x14ac:dyDescent="0.25">
      <c r="A26" s="11"/>
      <c r="B26" s="11" t="s">
        <v>60</v>
      </c>
      <c r="C26" s="220">
        <f t="shared" si="12"/>
        <v>20760</v>
      </c>
      <c r="D26" s="221">
        <f t="shared" si="13"/>
        <v>23760</v>
      </c>
      <c r="E26" s="221">
        <f t="shared" si="14"/>
        <v>26700</v>
      </c>
      <c r="F26" s="221">
        <f t="shared" si="15"/>
        <v>29640</v>
      </c>
      <c r="G26" s="221">
        <f t="shared" si="16"/>
        <v>32040</v>
      </c>
      <c r="H26" s="222">
        <f t="shared" si="17"/>
        <v>34440</v>
      </c>
      <c r="I26" s="217">
        <f>'MTSP Income Limits'!G24</f>
        <v>17300</v>
      </c>
      <c r="J26" s="218">
        <f>'MTSP Income Limits'!H24</f>
        <v>19800</v>
      </c>
      <c r="K26" s="218">
        <f>'MTSP Income Limits'!I24</f>
        <v>22250</v>
      </c>
      <c r="L26" s="218">
        <f>'MTSP Income Limits'!J24</f>
        <v>24700</v>
      </c>
      <c r="M26" s="218">
        <f>'MTSP Income Limits'!K24</f>
        <v>26700</v>
      </c>
      <c r="N26" s="219">
        <f>'MTSP Income Limits'!L24</f>
        <v>28700</v>
      </c>
      <c r="O26" s="220">
        <f t="shared" si="18"/>
        <v>13840</v>
      </c>
      <c r="P26" s="221">
        <f t="shared" si="19"/>
        <v>15840</v>
      </c>
      <c r="Q26" s="221">
        <f t="shared" si="20"/>
        <v>17800</v>
      </c>
      <c r="R26" s="221">
        <f t="shared" si="21"/>
        <v>19760</v>
      </c>
      <c r="S26" s="221">
        <f t="shared" si="22"/>
        <v>21360</v>
      </c>
      <c r="T26" s="222">
        <f t="shared" si="23"/>
        <v>22960</v>
      </c>
      <c r="U26" s="223">
        <f t="shared" si="24"/>
        <v>10380</v>
      </c>
      <c r="V26" s="224">
        <f t="shared" si="25"/>
        <v>11880</v>
      </c>
      <c r="W26" s="224">
        <f t="shared" si="26"/>
        <v>13350</v>
      </c>
      <c r="X26" s="224">
        <f t="shared" si="27"/>
        <v>14820</v>
      </c>
      <c r="Y26" s="224">
        <f t="shared" si="28"/>
        <v>16020</v>
      </c>
      <c r="Z26" s="224">
        <f t="shared" si="29"/>
        <v>17220</v>
      </c>
      <c r="AA26" s="220">
        <f t="shared" si="30"/>
        <v>518</v>
      </c>
      <c r="AB26" s="221">
        <f t="shared" si="31"/>
        <v>555</v>
      </c>
      <c r="AC26" s="221">
        <f t="shared" si="32"/>
        <v>667</v>
      </c>
      <c r="AD26" s="221">
        <f t="shared" si="33"/>
        <v>770</v>
      </c>
      <c r="AE26" s="222">
        <f t="shared" si="34"/>
        <v>860</v>
      </c>
      <c r="AF26" s="223">
        <f t="shared" si="35"/>
        <v>432</v>
      </c>
      <c r="AG26" s="224">
        <f t="shared" si="36"/>
        <v>463</v>
      </c>
      <c r="AH26" s="224">
        <f t="shared" si="37"/>
        <v>556</v>
      </c>
      <c r="AI26" s="224">
        <f t="shared" si="38"/>
        <v>642</v>
      </c>
      <c r="AJ26" s="225">
        <f t="shared" si="39"/>
        <v>717</v>
      </c>
      <c r="AK26" s="220">
        <f t="shared" si="40"/>
        <v>345</v>
      </c>
      <c r="AL26" s="221">
        <f t="shared" si="41"/>
        <v>370</v>
      </c>
      <c r="AM26" s="221">
        <f t="shared" si="42"/>
        <v>444</v>
      </c>
      <c r="AN26" s="221">
        <f t="shared" si="43"/>
        <v>513</v>
      </c>
      <c r="AO26" s="222">
        <f t="shared" si="44"/>
        <v>573</v>
      </c>
      <c r="AP26" s="223">
        <f t="shared" si="45"/>
        <v>259</v>
      </c>
      <c r="AQ26" s="224">
        <f t="shared" si="46"/>
        <v>277</v>
      </c>
      <c r="AR26" s="224">
        <f t="shared" si="47"/>
        <v>333</v>
      </c>
      <c r="AS26" s="224">
        <f t="shared" si="48"/>
        <v>385</v>
      </c>
      <c r="AT26" s="225">
        <f t="shared" si="49"/>
        <v>430</v>
      </c>
    </row>
    <row r="27" spans="1:46" x14ac:dyDescent="0.25">
      <c r="A27" s="11"/>
      <c r="B27" s="11" t="s">
        <v>61</v>
      </c>
      <c r="C27" s="220">
        <f t="shared" si="12"/>
        <v>27600</v>
      </c>
      <c r="D27" s="221">
        <f t="shared" si="13"/>
        <v>31560</v>
      </c>
      <c r="E27" s="221">
        <f t="shared" si="14"/>
        <v>35520</v>
      </c>
      <c r="F27" s="221">
        <f t="shared" si="15"/>
        <v>39420</v>
      </c>
      <c r="G27" s="221">
        <f t="shared" si="16"/>
        <v>42600</v>
      </c>
      <c r="H27" s="222">
        <f t="shared" si="17"/>
        <v>45780</v>
      </c>
      <c r="I27" s="217">
        <f>'MTSP Income Limits'!G25</f>
        <v>23000</v>
      </c>
      <c r="J27" s="218">
        <f>'MTSP Income Limits'!H25</f>
        <v>26300</v>
      </c>
      <c r="K27" s="218">
        <f>'MTSP Income Limits'!I25</f>
        <v>29600</v>
      </c>
      <c r="L27" s="218">
        <f>'MTSP Income Limits'!J25</f>
        <v>32850</v>
      </c>
      <c r="M27" s="218">
        <f>'MTSP Income Limits'!K25</f>
        <v>35500</v>
      </c>
      <c r="N27" s="219">
        <f>'MTSP Income Limits'!L25</f>
        <v>38150</v>
      </c>
      <c r="O27" s="220">
        <f t="shared" si="18"/>
        <v>18400</v>
      </c>
      <c r="P27" s="221">
        <f t="shared" si="19"/>
        <v>21040</v>
      </c>
      <c r="Q27" s="221">
        <f t="shared" si="20"/>
        <v>23680</v>
      </c>
      <c r="R27" s="221">
        <f t="shared" si="21"/>
        <v>26280</v>
      </c>
      <c r="S27" s="221">
        <f t="shared" si="22"/>
        <v>28400</v>
      </c>
      <c r="T27" s="222">
        <f t="shared" si="23"/>
        <v>30520</v>
      </c>
      <c r="U27" s="223">
        <f t="shared" si="24"/>
        <v>13800</v>
      </c>
      <c r="V27" s="224">
        <f t="shared" si="25"/>
        <v>15780</v>
      </c>
      <c r="W27" s="224">
        <f t="shared" si="26"/>
        <v>17760</v>
      </c>
      <c r="X27" s="224">
        <f t="shared" si="27"/>
        <v>19710</v>
      </c>
      <c r="Y27" s="224">
        <f t="shared" si="28"/>
        <v>21300</v>
      </c>
      <c r="Z27" s="224">
        <f t="shared" si="29"/>
        <v>22890</v>
      </c>
      <c r="AA27" s="220">
        <f t="shared" si="30"/>
        <v>690</v>
      </c>
      <c r="AB27" s="221">
        <f t="shared" si="31"/>
        <v>739</v>
      </c>
      <c r="AC27" s="221">
        <f t="shared" si="32"/>
        <v>888</v>
      </c>
      <c r="AD27" s="221">
        <f t="shared" si="33"/>
        <v>1024</v>
      </c>
      <c r="AE27" s="222">
        <f t="shared" si="34"/>
        <v>1143</v>
      </c>
      <c r="AF27" s="223">
        <f t="shared" si="35"/>
        <v>575</v>
      </c>
      <c r="AG27" s="224">
        <f t="shared" si="36"/>
        <v>616</v>
      </c>
      <c r="AH27" s="224">
        <f t="shared" si="37"/>
        <v>740</v>
      </c>
      <c r="AI27" s="224">
        <f t="shared" si="38"/>
        <v>854</v>
      </c>
      <c r="AJ27" s="225">
        <f t="shared" si="39"/>
        <v>953</v>
      </c>
      <c r="AK27" s="220">
        <f t="shared" si="40"/>
        <v>460</v>
      </c>
      <c r="AL27" s="221">
        <f t="shared" si="41"/>
        <v>492</v>
      </c>
      <c r="AM27" s="221">
        <f t="shared" si="42"/>
        <v>592</v>
      </c>
      <c r="AN27" s="221">
        <f t="shared" si="43"/>
        <v>683</v>
      </c>
      <c r="AO27" s="222">
        <f t="shared" si="44"/>
        <v>762</v>
      </c>
      <c r="AP27" s="223">
        <f t="shared" si="45"/>
        <v>345</v>
      </c>
      <c r="AQ27" s="224">
        <f t="shared" si="46"/>
        <v>369</v>
      </c>
      <c r="AR27" s="224">
        <f t="shared" si="47"/>
        <v>444</v>
      </c>
      <c r="AS27" s="224">
        <f t="shared" si="48"/>
        <v>512</v>
      </c>
      <c r="AT27" s="225">
        <f t="shared" si="49"/>
        <v>571</v>
      </c>
    </row>
    <row r="28" spans="1:46" x14ac:dyDescent="0.25">
      <c r="A28" s="11"/>
      <c r="B28" s="11" t="s">
        <v>62</v>
      </c>
      <c r="C28" s="220">
        <f t="shared" si="12"/>
        <v>20760</v>
      </c>
      <c r="D28" s="221">
        <f t="shared" si="13"/>
        <v>23760</v>
      </c>
      <c r="E28" s="221">
        <f t="shared" si="14"/>
        <v>26700</v>
      </c>
      <c r="F28" s="221">
        <f t="shared" si="15"/>
        <v>29640</v>
      </c>
      <c r="G28" s="221">
        <f t="shared" si="16"/>
        <v>32040</v>
      </c>
      <c r="H28" s="222">
        <f t="shared" si="17"/>
        <v>34440</v>
      </c>
      <c r="I28" s="217">
        <f>'MTSP Income Limits'!G26</f>
        <v>17300</v>
      </c>
      <c r="J28" s="218">
        <f>'MTSP Income Limits'!H26</f>
        <v>19800</v>
      </c>
      <c r="K28" s="218">
        <f>'MTSP Income Limits'!I26</f>
        <v>22250</v>
      </c>
      <c r="L28" s="218">
        <f>'MTSP Income Limits'!J26</f>
        <v>24700</v>
      </c>
      <c r="M28" s="218">
        <f>'MTSP Income Limits'!K26</f>
        <v>26700</v>
      </c>
      <c r="N28" s="219">
        <f>'MTSP Income Limits'!L26</f>
        <v>28700</v>
      </c>
      <c r="O28" s="220">
        <f t="shared" si="18"/>
        <v>13840</v>
      </c>
      <c r="P28" s="221">
        <f t="shared" si="19"/>
        <v>15840</v>
      </c>
      <c r="Q28" s="221">
        <f t="shared" si="20"/>
        <v>17800</v>
      </c>
      <c r="R28" s="221">
        <f t="shared" si="21"/>
        <v>19760</v>
      </c>
      <c r="S28" s="221">
        <f t="shared" si="22"/>
        <v>21360</v>
      </c>
      <c r="T28" s="222">
        <f t="shared" si="23"/>
        <v>22960</v>
      </c>
      <c r="U28" s="223">
        <f t="shared" si="24"/>
        <v>10380</v>
      </c>
      <c r="V28" s="224">
        <f t="shared" si="25"/>
        <v>11880</v>
      </c>
      <c r="W28" s="224">
        <f t="shared" si="26"/>
        <v>13350</v>
      </c>
      <c r="X28" s="224">
        <f t="shared" si="27"/>
        <v>14820</v>
      </c>
      <c r="Y28" s="224">
        <f t="shared" si="28"/>
        <v>16020</v>
      </c>
      <c r="Z28" s="224">
        <f t="shared" si="29"/>
        <v>17220</v>
      </c>
      <c r="AA28" s="220">
        <f t="shared" si="30"/>
        <v>518</v>
      </c>
      <c r="AB28" s="221">
        <f t="shared" si="31"/>
        <v>555</v>
      </c>
      <c r="AC28" s="221">
        <f t="shared" si="32"/>
        <v>667</v>
      </c>
      <c r="AD28" s="221">
        <f t="shared" si="33"/>
        <v>770</v>
      </c>
      <c r="AE28" s="222">
        <f t="shared" si="34"/>
        <v>860</v>
      </c>
      <c r="AF28" s="223">
        <f t="shared" si="35"/>
        <v>432</v>
      </c>
      <c r="AG28" s="224">
        <f t="shared" si="36"/>
        <v>463</v>
      </c>
      <c r="AH28" s="224">
        <f t="shared" si="37"/>
        <v>556</v>
      </c>
      <c r="AI28" s="224">
        <f t="shared" si="38"/>
        <v>642</v>
      </c>
      <c r="AJ28" s="225">
        <f t="shared" si="39"/>
        <v>717</v>
      </c>
      <c r="AK28" s="220">
        <f t="shared" si="40"/>
        <v>345</v>
      </c>
      <c r="AL28" s="221">
        <f t="shared" si="41"/>
        <v>370</v>
      </c>
      <c r="AM28" s="221">
        <f t="shared" si="42"/>
        <v>444</v>
      </c>
      <c r="AN28" s="221">
        <f t="shared" si="43"/>
        <v>513</v>
      </c>
      <c r="AO28" s="222">
        <f t="shared" si="44"/>
        <v>573</v>
      </c>
      <c r="AP28" s="223">
        <f t="shared" si="45"/>
        <v>259</v>
      </c>
      <c r="AQ28" s="224">
        <f t="shared" si="46"/>
        <v>277</v>
      </c>
      <c r="AR28" s="224">
        <f t="shared" si="47"/>
        <v>333</v>
      </c>
      <c r="AS28" s="224">
        <f t="shared" si="48"/>
        <v>385</v>
      </c>
      <c r="AT28" s="225">
        <f t="shared" si="49"/>
        <v>430</v>
      </c>
    </row>
    <row r="29" spans="1:46" x14ac:dyDescent="0.25">
      <c r="A29" s="11"/>
      <c r="B29" s="11" t="s">
        <v>63</v>
      </c>
      <c r="C29" s="220">
        <f t="shared" si="12"/>
        <v>20760</v>
      </c>
      <c r="D29" s="221">
        <f t="shared" si="13"/>
        <v>23760</v>
      </c>
      <c r="E29" s="221">
        <f t="shared" si="14"/>
        <v>26700</v>
      </c>
      <c r="F29" s="221">
        <f t="shared" si="15"/>
        <v>29640</v>
      </c>
      <c r="G29" s="221">
        <f t="shared" si="16"/>
        <v>32040</v>
      </c>
      <c r="H29" s="222">
        <f t="shared" si="17"/>
        <v>34440</v>
      </c>
      <c r="I29" s="217">
        <f>'MTSP Income Limits'!G27</f>
        <v>17300</v>
      </c>
      <c r="J29" s="218">
        <f>'MTSP Income Limits'!H27</f>
        <v>19800</v>
      </c>
      <c r="K29" s="218">
        <f>'MTSP Income Limits'!I27</f>
        <v>22250</v>
      </c>
      <c r="L29" s="218">
        <f>'MTSP Income Limits'!J27</f>
        <v>24700</v>
      </c>
      <c r="M29" s="218">
        <f>'MTSP Income Limits'!K27</f>
        <v>26700</v>
      </c>
      <c r="N29" s="219">
        <f>'MTSP Income Limits'!L27</f>
        <v>28700</v>
      </c>
      <c r="O29" s="220">
        <f t="shared" si="18"/>
        <v>13840</v>
      </c>
      <c r="P29" s="221">
        <f t="shared" si="19"/>
        <v>15840</v>
      </c>
      <c r="Q29" s="221">
        <f t="shared" si="20"/>
        <v>17800</v>
      </c>
      <c r="R29" s="221">
        <f t="shared" si="21"/>
        <v>19760</v>
      </c>
      <c r="S29" s="221">
        <f t="shared" si="22"/>
        <v>21360</v>
      </c>
      <c r="T29" s="222">
        <f t="shared" si="23"/>
        <v>22960</v>
      </c>
      <c r="U29" s="223">
        <f t="shared" si="24"/>
        <v>10380</v>
      </c>
      <c r="V29" s="224">
        <f t="shared" si="25"/>
        <v>11880</v>
      </c>
      <c r="W29" s="224">
        <f t="shared" si="26"/>
        <v>13350</v>
      </c>
      <c r="X29" s="224">
        <f t="shared" si="27"/>
        <v>14820</v>
      </c>
      <c r="Y29" s="224">
        <f t="shared" si="28"/>
        <v>16020</v>
      </c>
      <c r="Z29" s="224">
        <f t="shared" si="29"/>
        <v>17220</v>
      </c>
      <c r="AA29" s="220">
        <f t="shared" si="30"/>
        <v>518</v>
      </c>
      <c r="AB29" s="221">
        <f t="shared" si="31"/>
        <v>555</v>
      </c>
      <c r="AC29" s="221">
        <f t="shared" si="32"/>
        <v>667</v>
      </c>
      <c r="AD29" s="221">
        <f t="shared" si="33"/>
        <v>770</v>
      </c>
      <c r="AE29" s="222">
        <f t="shared" si="34"/>
        <v>860</v>
      </c>
      <c r="AF29" s="223">
        <f t="shared" si="35"/>
        <v>432</v>
      </c>
      <c r="AG29" s="224">
        <f t="shared" si="36"/>
        <v>463</v>
      </c>
      <c r="AH29" s="224">
        <f t="shared" si="37"/>
        <v>556</v>
      </c>
      <c r="AI29" s="224">
        <f t="shared" si="38"/>
        <v>642</v>
      </c>
      <c r="AJ29" s="225">
        <f t="shared" si="39"/>
        <v>717</v>
      </c>
      <c r="AK29" s="220">
        <f t="shared" si="40"/>
        <v>345</v>
      </c>
      <c r="AL29" s="221">
        <f t="shared" si="41"/>
        <v>370</v>
      </c>
      <c r="AM29" s="221">
        <f t="shared" si="42"/>
        <v>444</v>
      </c>
      <c r="AN29" s="221">
        <f t="shared" si="43"/>
        <v>513</v>
      </c>
      <c r="AO29" s="222">
        <f t="shared" si="44"/>
        <v>573</v>
      </c>
      <c r="AP29" s="223">
        <f t="shared" si="45"/>
        <v>259</v>
      </c>
      <c r="AQ29" s="224">
        <f t="shared" si="46"/>
        <v>277</v>
      </c>
      <c r="AR29" s="224">
        <f t="shared" si="47"/>
        <v>333</v>
      </c>
      <c r="AS29" s="224">
        <f t="shared" si="48"/>
        <v>385</v>
      </c>
      <c r="AT29" s="225">
        <f t="shared" si="49"/>
        <v>430</v>
      </c>
    </row>
    <row r="30" spans="1:46" x14ac:dyDescent="0.25">
      <c r="A30" s="11"/>
      <c r="B30" s="11" t="s">
        <v>64</v>
      </c>
      <c r="C30" s="220">
        <f t="shared" si="12"/>
        <v>20760</v>
      </c>
      <c r="D30" s="221">
        <f t="shared" si="13"/>
        <v>23760</v>
      </c>
      <c r="E30" s="221">
        <f t="shared" si="14"/>
        <v>26700</v>
      </c>
      <c r="F30" s="221">
        <f t="shared" si="15"/>
        <v>29640</v>
      </c>
      <c r="G30" s="221">
        <f t="shared" si="16"/>
        <v>32040</v>
      </c>
      <c r="H30" s="222">
        <f t="shared" si="17"/>
        <v>34440</v>
      </c>
      <c r="I30" s="217">
        <f>'MTSP Income Limits'!G28</f>
        <v>17300</v>
      </c>
      <c r="J30" s="218">
        <f>'MTSP Income Limits'!H28</f>
        <v>19800</v>
      </c>
      <c r="K30" s="218">
        <f>'MTSP Income Limits'!I28</f>
        <v>22250</v>
      </c>
      <c r="L30" s="218">
        <f>'MTSP Income Limits'!J28</f>
        <v>24700</v>
      </c>
      <c r="M30" s="218">
        <f>'MTSP Income Limits'!K28</f>
        <v>26700</v>
      </c>
      <c r="N30" s="219">
        <f>'MTSP Income Limits'!L28</f>
        <v>28700</v>
      </c>
      <c r="O30" s="220">
        <f t="shared" si="18"/>
        <v>13840</v>
      </c>
      <c r="P30" s="221">
        <f t="shared" si="19"/>
        <v>15840</v>
      </c>
      <c r="Q30" s="221">
        <f t="shared" si="20"/>
        <v>17800</v>
      </c>
      <c r="R30" s="221">
        <f t="shared" si="21"/>
        <v>19760</v>
      </c>
      <c r="S30" s="221">
        <f t="shared" si="22"/>
        <v>21360</v>
      </c>
      <c r="T30" s="222">
        <f t="shared" si="23"/>
        <v>22960</v>
      </c>
      <c r="U30" s="223">
        <f t="shared" si="24"/>
        <v>10380</v>
      </c>
      <c r="V30" s="224">
        <f t="shared" si="25"/>
        <v>11880</v>
      </c>
      <c r="W30" s="224">
        <f t="shared" si="26"/>
        <v>13350</v>
      </c>
      <c r="X30" s="224">
        <f t="shared" si="27"/>
        <v>14820</v>
      </c>
      <c r="Y30" s="224">
        <f t="shared" si="28"/>
        <v>16020</v>
      </c>
      <c r="Z30" s="224">
        <f t="shared" si="29"/>
        <v>17220</v>
      </c>
      <c r="AA30" s="220">
        <f t="shared" si="30"/>
        <v>518</v>
      </c>
      <c r="AB30" s="221">
        <f t="shared" si="31"/>
        <v>555</v>
      </c>
      <c r="AC30" s="221">
        <f t="shared" si="32"/>
        <v>667</v>
      </c>
      <c r="AD30" s="221">
        <f t="shared" si="33"/>
        <v>770</v>
      </c>
      <c r="AE30" s="222">
        <f t="shared" si="34"/>
        <v>860</v>
      </c>
      <c r="AF30" s="223">
        <f t="shared" si="35"/>
        <v>432</v>
      </c>
      <c r="AG30" s="224">
        <f t="shared" si="36"/>
        <v>463</v>
      </c>
      <c r="AH30" s="224">
        <f t="shared" si="37"/>
        <v>556</v>
      </c>
      <c r="AI30" s="224">
        <f t="shared" si="38"/>
        <v>642</v>
      </c>
      <c r="AJ30" s="225">
        <f t="shared" si="39"/>
        <v>717</v>
      </c>
      <c r="AK30" s="220">
        <f t="shared" si="40"/>
        <v>345</v>
      </c>
      <c r="AL30" s="221">
        <f t="shared" si="41"/>
        <v>370</v>
      </c>
      <c r="AM30" s="221">
        <f t="shared" si="42"/>
        <v>444</v>
      </c>
      <c r="AN30" s="221">
        <f t="shared" si="43"/>
        <v>513</v>
      </c>
      <c r="AO30" s="222">
        <f t="shared" si="44"/>
        <v>573</v>
      </c>
      <c r="AP30" s="223">
        <f t="shared" si="45"/>
        <v>259</v>
      </c>
      <c r="AQ30" s="224">
        <f t="shared" si="46"/>
        <v>277</v>
      </c>
      <c r="AR30" s="224">
        <f t="shared" si="47"/>
        <v>333</v>
      </c>
      <c r="AS30" s="224">
        <f t="shared" si="48"/>
        <v>385</v>
      </c>
      <c r="AT30" s="225">
        <f t="shared" si="49"/>
        <v>430</v>
      </c>
    </row>
    <row r="31" spans="1:46" x14ac:dyDescent="0.25">
      <c r="A31" s="11"/>
      <c r="B31" s="11" t="s">
        <v>65</v>
      </c>
      <c r="C31" s="220">
        <f t="shared" si="12"/>
        <v>20760</v>
      </c>
      <c r="D31" s="221">
        <f t="shared" si="13"/>
        <v>23760</v>
      </c>
      <c r="E31" s="221">
        <f t="shared" si="14"/>
        <v>26700</v>
      </c>
      <c r="F31" s="221">
        <f t="shared" si="15"/>
        <v>29640</v>
      </c>
      <c r="G31" s="221">
        <f t="shared" si="16"/>
        <v>32040</v>
      </c>
      <c r="H31" s="222">
        <f t="shared" si="17"/>
        <v>34440</v>
      </c>
      <c r="I31" s="217">
        <f>'MTSP Income Limits'!G29</f>
        <v>17300</v>
      </c>
      <c r="J31" s="218">
        <f>'MTSP Income Limits'!H29</f>
        <v>19800</v>
      </c>
      <c r="K31" s="218">
        <f>'MTSP Income Limits'!I29</f>
        <v>22250</v>
      </c>
      <c r="L31" s="218">
        <f>'MTSP Income Limits'!J29</f>
        <v>24700</v>
      </c>
      <c r="M31" s="218">
        <f>'MTSP Income Limits'!K29</f>
        <v>26700</v>
      </c>
      <c r="N31" s="219">
        <f>'MTSP Income Limits'!L29</f>
        <v>28700</v>
      </c>
      <c r="O31" s="220">
        <f t="shared" si="18"/>
        <v>13840</v>
      </c>
      <c r="P31" s="221">
        <f t="shared" si="19"/>
        <v>15840</v>
      </c>
      <c r="Q31" s="221">
        <f t="shared" si="20"/>
        <v>17800</v>
      </c>
      <c r="R31" s="221">
        <f t="shared" si="21"/>
        <v>19760</v>
      </c>
      <c r="S31" s="221">
        <f t="shared" si="22"/>
        <v>21360</v>
      </c>
      <c r="T31" s="222">
        <f t="shared" si="23"/>
        <v>22960</v>
      </c>
      <c r="U31" s="223">
        <f t="shared" si="24"/>
        <v>10380</v>
      </c>
      <c r="V31" s="224">
        <f t="shared" si="25"/>
        <v>11880</v>
      </c>
      <c r="W31" s="224">
        <f t="shared" si="26"/>
        <v>13350</v>
      </c>
      <c r="X31" s="224">
        <f t="shared" si="27"/>
        <v>14820</v>
      </c>
      <c r="Y31" s="224">
        <f t="shared" si="28"/>
        <v>16020</v>
      </c>
      <c r="Z31" s="224">
        <f t="shared" si="29"/>
        <v>17220</v>
      </c>
      <c r="AA31" s="220">
        <f t="shared" si="30"/>
        <v>518</v>
      </c>
      <c r="AB31" s="221">
        <f t="shared" si="31"/>
        <v>555</v>
      </c>
      <c r="AC31" s="221">
        <f t="shared" si="32"/>
        <v>667</v>
      </c>
      <c r="AD31" s="221">
        <f t="shared" si="33"/>
        <v>770</v>
      </c>
      <c r="AE31" s="222">
        <f t="shared" si="34"/>
        <v>860</v>
      </c>
      <c r="AF31" s="223">
        <f t="shared" si="35"/>
        <v>432</v>
      </c>
      <c r="AG31" s="224">
        <f t="shared" si="36"/>
        <v>463</v>
      </c>
      <c r="AH31" s="224">
        <f t="shared" si="37"/>
        <v>556</v>
      </c>
      <c r="AI31" s="224">
        <f t="shared" si="38"/>
        <v>642</v>
      </c>
      <c r="AJ31" s="225">
        <f t="shared" si="39"/>
        <v>717</v>
      </c>
      <c r="AK31" s="220">
        <f t="shared" si="40"/>
        <v>345</v>
      </c>
      <c r="AL31" s="221">
        <f t="shared" si="41"/>
        <v>370</v>
      </c>
      <c r="AM31" s="221">
        <f t="shared" si="42"/>
        <v>444</v>
      </c>
      <c r="AN31" s="221">
        <f t="shared" si="43"/>
        <v>513</v>
      </c>
      <c r="AO31" s="222">
        <f t="shared" si="44"/>
        <v>573</v>
      </c>
      <c r="AP31" s="223">
        <f t="shared" si="45"/>
        <v>259</v>
      </c>
      <c r="AQ31" s="224">
        <f t="shared" si="46"/>
        <v>277</v>
      </c>
      <c r="AR31" s="224">
        <f t="shared" si="47"/>
        <v>333</v>
      </c>
      <c r="AS31" s="224">
        <f t="shared" si="48"/>
        <v>385</v>
      </c>
      <c r="AT31" s="225">
        <f t="shared" si="49"/>
        <v>430</v>
      </c>
    </row>
    <row r="32" spans="1:46" x14ac:dyDescent="0.25">
      <c r="A32" s="11"/>
      <c r="B32" s="11" t="s">
        <v>66</v>
      </c>
      <c r="C32" s="220">
        <f t="shared" si="12"/>
        <v>20760</v>
      </c>
      <c r="D32" s="221">
        <f t="shared" si="13"/>
        <v>23760</v>
      </c>
      <c r="E32" s="221">
        <f t="shared" si="14"/>
        <v>26700</v>
      </c>
      <c r="F32" s="221">
        <f t="shared" si="15"/>
        <v>29640</v>
      </c>
      <c r="G32" s="221">
        <f t="shared" si="16"/>
        <v>32040</v>
      </c>
      <c r="H32" s="222">
        <f t="shared" si="17"/>
        <v>34440</v>
      </c>
      <c r="I32" s="217">
        <f>'MTSP Income Limits'!G30</f>
        <v>17300</v>
      </c>
      <c r="J32" s="218">
        <f>'MTSP Income Limits'!H30</f>
        <v>19800</v>
      </c>
      <c r="K32" s="218">
        <f>'MTSP Income Limits'!I30</f>
        <v>22250</v>
      </c>
      <c r="L32" s="218">
        <f>'MTSP Income Limits'!J30</f>
        <v>24700</v>
      </c>
      <c r="M32" s="218">
        <f>'MTSP Income Limits'!K30</f>
        <v>26700</v>
      </c>
      <c r="N32" s="219">
        <f>'MTSP Income Limits'!L30</f>
        <v>28700</v>
      </c>
      <c r="O32" s="220">
        <f t="shared" si="18"/>
        <v>13840</v>
      </c>
      <c r="P32" s="221">
        <f t="shared" si="19"/>
        <v>15840</v>
      </c>
      <c r="Q32" s="221">
        <f t="shared" si="20"/>
        <v>17800</v>
      </c>
      <c r="R32" s="221">
        <f t="shared" si="21"/>
        <v>19760</v>
      </c>
      <c r="S32" s="221">
        <f t="shared" si="22"/>
        <v>21360</v>
      </c>
      <c r="T32" s="222">
        <f t="shared" si="23"/>
        <v>22960</v>
      </c>
      <c r="U32" s="223">
        <f t="shared" si="24"/>
        <v>10380</v>
      </c>
      <c r="V32" s="224">
        <f t="shared" si="25"/>
        <v>11880</v>
      </c>
      <c r="W32" s="224">
        <f t="shared" si="26"/>
        <v>13350</v>
      </c>
      <c r="X32" s="224">
        <f t="shared" si="27"/>
        <v>14820</v>
      </c>
      <c r="Y32" s="224">
        <f t="shared" si="28"/>
        <v>16020</v>
      </c>
      <c r="Z32" s="224">
        <f t="shared" si="29"/>
        <v>17220</v>
      </c>
      <c r="AA32" s="220">
        <f t="shared" si="30"/>
        <v>518</v>
      </c>
      <c r="AB32" s="221">
        <f t="shared" si="31"/>
        <v>555</v>
      </c>
      <c r="AC32" s="221">
        <f t="shared" si="32"/>
        <v>667</v>
      </c>
      <c r="AD32" s="221">
        <f t="shared" si="33"/>
        <v>770</v>
      </c>
      <c r="AE32" s="222">
        <f t="shared" si="34"/>
        <v>860</v>
      </c>
      <c r="AF32" s="223">
        <f t="shared" si="35"/>
        <v>432</v>
      </c>
      <c r="AG32" s="224">
        <f t="shared" si="36"/>
        <v>463</v>
      </c>
      <c r="AH32" s="224">
        <f t="shared" si="37"/>
        <v>556</v>
      </c>
      <c r="AI32" s="224">
        <f t="shared" si="38"/>
        <v>642</v>
      </c>
      <c r="AJ32" s="225">
        <f t="shared" si="39"/>
        <v>717</v>
      </c>
      <c r="AK32" s="220">
        <f t="shared" si="40"/>
        <v>345</v>
      </c>
      <c r="AL32" s="221">
        <f t="shared" si="41"/>
        <v>370</v>
      </c>
      <c r="AM32" s="221">
        <f t="shared" si="42"/>
        <v>444</v>
      </c>
      <c r="AN32" s="221">
        <f t="shared" si="43"/>
        <v>513</v>
      </c>
      <c r="AO32" s="222">
        <f t="shared" si="44"/>
        <v>573</v>
      </c>
      <c r="AP32" s="223">
        <f t="shared" si="45"/>
        <v>259</v>
      </c>
      <c r="AQ32" s="224">
        <f t="shared" si="46"/>
        <v>277</v>
      </c>
      <c r="AR32" s="224">
        <f t="shared" si="47"/>
        <v>333</v>
      </c>
      <c r="AS32" s="224">
        <f t="shared" si="48"/>
        <v>385</v>
      </c>
      <c r="AT32" s="225">
        <f t="shared" si="49"/>
        <v>430</v>
      </c>
    </row>
    <row r="33" spans="1:46" x14ac:dyDescent="0.25">
      <c r="A33" s="11"/>
      <c r="B33" s="11" t="s">
        <v>67</v>
      </c>
      <c r="C33" s="220">
        <f t="shared" si="12"/>
        <v>24300</v>
      </c>
      <c r="D33" s="221">
        <f t="shared" si="13"/>
        <v>27780</v>
      </c>
      <c r="E33" s="221">
        <f t="shared" si="14"/>
        <v>31260</v>
      </c>
      <c r="F33" s="221">
        <f t="shared" si="15"/>
        <v>34680</v>
      </c>
      <c r="G33" s="221">
        <f t="shared" si="16"/>
        <v>37500</v>
      </c>
      <c r="H33" s="222">
        <f t="shared" si="17"/>
        <v>40260</v>
      </c>
      <c r="I33" s="217">
        <f>'MTSP Income Limits'!G31</f>
        <v>20250</v>
      </c>
      <c r="J33" s="218">
        <f>'MTSP Income Limits'!H31</f>
        <v>23150</v>
      </c>
      <c r="K33" s="218">
        <f>'MTSP Income Limits'!I31</f>
        <v>26050</v>
      </c>
      <c r="L33" s="218">
        <f>'MTSP Income Limits'!J31</f>
        <v>28900</v>
      </c>
      <c r="M33" s="218">
        <f>'MTSP Income Limits'!K31</f>
        <v>31250</v>
      </c>
      <c r="N33" s="219">
        <f>'MTSP Income Limits'!L31</f>
        <v>33550</v>
      </c>
      <c r="O33" s="220">
        <f t="shared" si="18"/>
        <v>16200</v>
      </c>
      <c r="P33" s="221">
        <f t="shared" si="19"/>
        <v>18520</v>
      </c>
      <c r="Q33" s="221">
        <f t="shared" si="20"/>
        <v>20840</v>
      </c>
      <c r="R33" s="221">
        <f t="shared" si="21"/>
        <v>23120</v>
      </c>
      <c r="S33" s="221">
        <f t="shared" si="22"/>
        <v>25000</v>
      </c>
      <c r="T33" s="222">
        <f t="shared" si="23"/>
        <v>26840</v>
      </c>
      <c r="U33" s="223">
        <f t="shared" si="24"/>
        <v>12150</v>
      </c>
      <c r="V33" s="224">
        <f t="shared" si="25"/>
        <v>13890</v>
      </c>
      <c r="W33" s="224">
        <f t="shared" si="26"/>
        <v>15630</v>
      </c>
      <c r="X33" s="224">
        <f t="shared" si="27"/>
        <v>17340</v>
      </c>
      <c r="Y33" s="224">
        <f t="shared" si="28"/>
        <v>18750</v>
      </c>
      <c r="Z33" s="224">
        <f t="shared" si="29"/>
        <v>20130</v>
      </c>
      <c r="AA33" s="220">
        <f t="shared" si="30"/>
        <v>607</v>
      </c>
      <c r="AB33" s="221">
        <f t="shared" si="31"/>
        <v>650</v>
      </c>
      <c r="AC33" s="221">
        <f t="shared" si="32"/>
        <v>781</v>
      </c>
      <c r="AD33" s="221">
        <f t="shared" si="33"/>
        <v>901</v>
      </c>
      <c r="AE33" s="222">
        <f t="shared" si="34"/>
        <v>1005</v>
      </c>
      <c r="AF33" s="223">
        <f t="shared" si="35"/>
        <v>506</v>
      </c>
      <c r="AG33" s="224">
        <f t="shared" si="36"/>
        <v>542</v>
      </c>
      <c r="AH33" s="224">
        <f t="shared" si="37"/>
        <v>651</v>
      </c>
      <c r="AI33" s="224">
        <f t="shared" si="38"/>
        <v>751</v>
      </c>
      <c r="AJ33" s="225">
        <f t="shared" si="39"/>
        <v>838</v>
      </c>
      <c r="AK33" s="220">
        <f t="shared" si="40"/>
        <v>404</v>
      </c>
      <c r="AL33" s="221">
        <f t="shared" si="41"/>
        <v>433</v>
      </c>
      <c r="AM33" s="221">
        <f t="shared" si="42"/>
        <v>520</v>
      </c>
      <c r="AN33" s="221">
        <f t="shared" si="43"/>
        <v>600</v>
      </c>
      <c r="AO33" s="222">
        <f t="shared" si="44"/>
        <v>670</v>
      </c>
      <c r="AP33" s="223">
        <f t="shared" si="45"/>
        <v>303</v>
      </c>
      <c r="AQ33" s="224">
        <f t="shared" si="46"/>
        <v>325</v>
      </c>
      <c r="AR33" s="224">
        <f t="shared" si="47"/>
        <v>390</v>
      </c>
      <c r="AS33" s="224">
        <f t="shared" si="48"/>
        <v>450</v>
      </c>
      <c r="AT33" s="225">
        <f t="shared" si="49"/>
        <v>502</v>
      </c>
    </row>
    <row r="34" spans="1:46" x14ac:dyDescent="0.25">
      <c r="A34" s="11"/>
      <c r="B34" s="11" t="s">
        <v>68</v>
      </c>
      <c r="C34" s="220">
        <f t="shared" si="12"/>
        <v>22200</v>
      </c>
      <c r="D34" s="221">
        <f t="shared" si="13"/>
        <v>25380</v>
      </c>
      <c r="E34" s="221">
        <f t="shared" si="14"/>
        <v>28560</v>
      </c>
      <c r="F34" s="221">
        <f t="shared" si="15"/>
        <v>31680</v>
      </c>
      <c r="G34" s="221">
        <f t="shared" si="16"/>
        <v>34260</v>
      </c>
      <c r="H34" s="222">
        <f t="shared" si="17"/>
        <v>36780</v>
      </c>
      <c r="I34" s="217">
        <f>'MTSP Income Limits'!G32</f>
        <v>18500</v>
      </c>
      <c r="J34" s="218">
        <f>'MTSP Income Limits'!H32</f>
        <v>21150</v>
      </c>
      <c r="K34" s="218">
        <f>'MTSP Income Limits'!I32</f>
        <v>23800</v>
      </c>
      <c r="L34" s="218">
        <f>'MTSP Income Limits'!J32</f>
        <v>26400</v>
      </c>
      <c r="M34" s="218">
        <f>'MTSP Income Limits'!K32</f>
        <v>28550</v>
      </c>
      <c r="N34" s="219">
        <f>'MTSP Income Limits'!L32</f>
        <v>30650</v>
      </c>
      <c r="O34" s="220">
        <f t="shared" si="18"/>
        <v>14800</v>
      </c>
      <c r="P34" s="221">
        <f t="shared" si="19"/>
        <v>16920</v>
      </c>
      <c r="Q34" s="221">
        <f t="shared" si="20"/>
        <v>19040</v>
      </c>
      <c r="R34" s="221">
        <f t="shared" si="21"/>
        <v>21120</v>
      </c>
      <c r="S34" s="221">
        <f t="shared" si="22"/>
        <v>22840</v>
      </c>
      <c r="T34" s="222">
        <f t="shared" si="23"/>
        <v>24520</v>
      </c>
      <c r="U34" s="223">
        <f t="shared" si="24"/>
        <v>11100</v>
      </c>
      <c r="V34" s="224">
        <f t="shared" si="25"/>
        <v>12690</v>
      </c>
      <c r="W34" s="224">
        <f t="shared" si="26"/>
        <v>14280</v>
      </c>
      <c r="X34" s="224">
        <f t="shared" si="27"/>
        <v>15840</v>
      </c>
      <c r="Y34" s="224">
        <f t="shared" si="28"/>
        <v>17130</v>
      </c>
      <c r="Z34" s="224">
        <f t="shared" si="29"/>
        <v>18390</v>
      </c>
      <c r="AA34" s="220">
        <f t="shared" si="30"/>
        <v>554</v>
      </c>
      <c r="AB34" s="221">
        <f t="shared" si="31"/>
        <v>594</v>
      </c>
      <c r="AC34" s="221">
        <f t="shared" si="32"/>
        <v>714</v>
      </c>
      <c r="AD34" s="221">
        <f t="shared" si="33"/>
        <v>823</v>
      </c>
      <c r="AE34" s="222">
        <f t="shared" si="34"/>
        <v>919</v>
      </c>
      <c r="AF34" s="223">
        <f t="shared" si="35"/>
        <v>462</v>
      </c>
      <c r="AG34" s="224">
        <f t="shared" si="36"/>
        <v>495</v>
      </c>
      <c r="AH34" s="224">
        <f t="shared" si="37"/>
        <v>595</v>
      </c>
      <c r="AI34" s="224">
        <f t="shared" si="38"/>
        <v>686</v>
      </c>
      <c r="AJ34" s="225">
        <f t="shared" si="39"/>
        <v>766</v>
      </c>
      <c r="AK34" s="220">
        <f t="shared" si="40"/>
        <v>369</v>
      </c>
      <c r="AL34" s="221">
        <f t="shared" si="41"/>
        <v>396</v>
      </c>
      <c r="AM34" s="221">
        <f t="shared" si="42"/>
        <v>476</v>
      </c>
      <c r="AN34" s="221">
        <f t="shared" si="43"/>
        <v>548</v>
      </c>
      <c r="AO34" s="222">
        <f t="shared" si="44"/>
        <v>612</v>
      </c>
      <c r="AP34" s="223">
        <f t="shared" si="45"/>
        <v>277</v>
      </c>
      <c r="AQ34" s="224">
        <f t="shared" si="46"/>
        <v>297</v>
      </c>
      <c r="AR34" s="224">
        <f t="shared" si="47"/>
        <v>357</v>
      </c>
      <c r="AS34" s="224">
        <f t="shared" si="48"/>
        <v>411</v>
      </c>
      <c r="AT34" s="225">
        <f t="shared" si="49"/>
        <v>459</v>
      </c>
    </row>
    <row r="35" spans="1:46" x14ac:dyDescent="0.25">
      <c r="A35" s="11"/>
      <c r="B35" s="11" t="s">
        <v>69</v>
      </c>
      <c r="C35" s="220">
        <f t="shared" si="12"/>
        <v>29700</v>
      </c>
      <c r="D35" s="221">
        <f t="shared" si="13"/>
        <v>33900</v>
      </c>
      <c r="E35" s="221">
        <f t="shared" si="14"/>
        <v>38160</v>
      </c>
      <c r="F35" s="221">
        <f t="shared" si="15"/>
        <v>42360</v>
      </c>
      <c r="G35" s="221">
        <f t="shared" si="16"/>
        <v>45780</v>
      </c>
      <c r="H35" s="222">
        <f t="shared" si="17"/>
        <v>49140</v>
      </c>
      <c r="I35" s="217">
        <f>'MTSP Income Limits'!G33</f>
        <v>24750</v>
      </c>
      <c r="J35" s="218">
        <f>'MTSP Income Limits'!H33</f>
        <v>28250</v>
      </c>
      <c r="K35" s="218">
        <f>'MTSP Income Limits'!I33</f>
        <v>31800</v>
      </c>
      <c r="L35" s="218">
        <f>'MTSP Income Limits'!J33</f>
        <v>35300</v>
      </c>
      <c r="M35" s="218">
        <f>'MTSP Income Limits'!K33</f>
        <v>38150</v>
      </c>
      <c r="N35" s="219">
        <f>'MTSP Income Limits'!L33</f>
        <v>40950</v>
      </c>
      <c r="O35" s="220">
        <f t="shared" si="18"/>
        <v>19800</v>
      </c>
      <c r="P35" s="221">
        <f t="shared" si="19"/>
        <v>22600</v>
      </c>
      <c r="Q35" s="221">
        <f t="shared" si="20"/>
        <v>25440</v>
      </c>
      <c r="R35" s="221">
        <f t="shared" si="21"/>
        <v>28240</v>
      </c>
      <c r="S35" s="221">
        <f t="shared" si="22"/>
        <v>30520</v>
      </c>
      <c r="T35" s="222">
        <f t="shared" si="23"/>
        <v>32760</v>
      </c>
      <c r="U35" s="223">
        <f t="shared" si="24"/>
        <v>14850</v>
      </c>
      <c r="V35" s="224">
        <f t="shared" si="25"/>
        <v>16950</v>
      </c>
      <c r="W35" s="224">
        <f t="shared" si="26"/>
        <v>19080</v>
      </c>
      <c r="X35" s="224">
        <f t="shared" si="27"/>
        <v>21180</v>
      </c>
      <c r="Y35" s="224">
        <f t="shared" si="28"/>
        <v>22890</v>
      </c>
      <c r="Z35" s="224">
        <f t="shared" si="29"/>
        <v>24570</v>
      </c>
      <c r="AA35" s="220">
        <f t="shared" si="30"/>
        <v>741</v>
      </c>
      <c r="AB35" s="221">
        <f t="shared" si="31"/>
        <v>794</v>
      </c>
      <c r="AC35" s="221">
        <f t="shared" si="32"/>
        <v>954</v>
      </c>
      <c r="AD35" s="221">
        <f t="shared" si="33"/>
        <v>1101</v>
      </c>
      <c r="AE35" s="222">
        <f t="shared" si="34"/>
        <v>1227</v>
      </c>
      <c r="AF35" s="223">
        <f t="shared" si="35"/>
        <v>618</v>
      </c>
      <c r="AG35" s="224">
        <f t="shared" si="36"/>
        <v>662</v>
      </c>
      <c r="AH35" s="224">
        <f t="shared" si="37"/>
        <v>795</v>
      </c>
      <c r="AI35" s="224">
        <f t="shared" si="38"/>
        <v>918</v>
      </c>
      <c r="AJ35" s="225">
        <f t="shared" si="39"/>
        <v>1023</v>
      </c>
      <c r="AK35" s="220">
        <f t="shared" si="40"/>
        <v>494</v>
      </c>
      <c r="AL35" s="221">
        <f t="shared" si="41"/>
        <v>529</v>
      </c>
      <c r="AM35" s="221">
        <f t="shared" si="42"/>
        <v>636</v>
      </c>
      <c r="AN35" s="221">
        <f t="shared" si="43"/>
        <v>734</v>
      </c>
      <c r="AO35" s="222">
        <f t="shared" si="44"/>
        <v>818</v>
      </c>
      <c r="AP35" s="223">
        <f t="shared" si="45"/>
        <v>370</v>
      </c>
      <c r="AQ35" s="224">
        <f t="shared" si="46"/>
        <v>397</v>
      </c>
      <c r="AR35" s="224">
        <f t="shared" si="47"/>
        <v>477</v>
      </c>
      <c r="AS35" s="224">
        <f t="shared" si="48"/>
        <v>550</v>
      </c>
      <c r="AT35" s="225">
        <f t="shared" si="49"/>
        <v>613</v>
      </c>
    </row>
    <row r="36" spans="1:46" x14ac:dyDescent="0.25">
      <c r="A36" s="11"/>
      <c r="B36" s="11" t="s">
        <v>70</v>
      </c>
      <c r="C36" s="220">
        <f t="shared" si="12"/>
        <v>29160</v>
      </c>
      <c r="D36" s="221">
        <f t="shared" si="13"/>
        <v>33300</v>
      </c>
      <c r="E36" s="221">
        <f t="shared" si="14"/>
        <v>37440</v>
      </c>
      <c r="F36" s="221">
        <f t="shared" si="15"/>
        <v>41580</v>
      </c>
      <c r="G36" s="221">
        <f t="shared" si="16"/>
        <v>44940</v>
      </c>
      <c r="H36" s="222">
        <f t="shared" si="17"/>
        <v>48240</v>
      </c>
      <c r="I36" s="217">
        <f>'MTSP Income Limits'!G34</f>
        <v>24300</v>
      </c>
      <c r="J36" s="218">
        <f>'MTSP Income Limits'!H34</f>
        <v>27750</v>
      </c>
      <c r="K36" s="218">
        <f>'MTSP Income Limits'!I34</f>
        <v>31200</v>
      </c>
      <c r="L36" s="218">
        <f>'MTSP Income Limits'!J34</f>
        <v>34650</v>
      </c>
      <c r="M36" s="218">
        <f>'MTSP Income Limits'!K34</f>
        <v>37450</v>
      </c>
      <c r="N36" s="219">
        <f>'MTSP Income Limits'!L34</f>
        <v>40200</v>
      </c>
      <c r="O36" s="220">
        <f t="shared" si="18"/>
        <v>19440</v>
      </c>
      <c r="P36" s="221">
        <f t="shared" si="19"/>
        <v>22200</v>
      </c>
      <c r="Q36" s="221">
        <f t="shared" si="20"/>
        <v>24960</v>
      </c>
      <c r="R36" s="221">
        <f t="shared" si="21"/>
        <v>27720</v>
      </c>
      <c r="S36" s="221">
        <f t="shared" si="22"/>
        <v>29960</v>
      </c>
      <c r="T36" s="222">
        <f t="shared" si="23"/>
        <v>32160</v>
      </c>
      <c r="U36" s="223">
        <f t="shared" si="24"/>
        <v>14580</v>
      </c>
      <c r="V36" s="224">
        <f t="shared" si="25"/>
        <v>16650</v>
      </c>
      <c r="W36" s="224">
        <f t="shared" si="26"/>
        <v>18720</v>
      </c>
      <c r="X36" s="224">
        <f t="shared" si="27"/>
        <v>20790</v>
      </c>
      <c r="Y36" s="224">
        <f t="shared" si="28"/>
        <v>22470</v>
      </c>
      <c r="Z36" s="224">
        <f t="shared" si="29"/>
        <v>24120</v>
      </c>
      <c r="AA36" s="220">
        <f t="shared" si="30"/>
        <v>728</v>
      </c>
      <c r="AB36" s="221">
        <f t="shared" si="31"/>
        <v>780</v>
      </c>
      <c r="AC36" s="221">
        <f t="shared" si="32"/>
        <v>936</v>
      </c>
      <c r="AD36" s="221">
        <f t="shared" si="33"/>
        <v>1081</v>
      </c>
      <c r="AE36" s="222">
        <f t="shared" si="34"/>
        <v>1206</v>
      </c>
      <c r="AF36" s="223">
        <f t="shared" si="35"/>
        <v>607</v>
      </c>
      <c r="AG36" s="224">
        <f t="shared" si="36"/>
        <v>650</v>
      </c>
      <c r="AH36" s="224">
        <f t="shared" si="37"/>
        <v>780</v>
      </c>
      <c r="AI36" s="224">
        <f t="shared" si="38"/>
        <v>901</v>
      </c>
      <c r="AJ36" s="225">
        <f t="shared" si="39"/>
        <v>1005</v>
      </c>
      <c r="AK36" s="220">
        <f t="shared" si="40"/>
        <v>485</v>
      </c>
      <c r="AL36" s="221">
        <f t="shared" si="41"/>
        <v>520</v>
      </c>
      <c r="AM36" s="221">
        <f t="shared" si="42"/>
        <v>624</v>
      </c>
      <c r="AN36" s="221">
        <f t="shared" si="43"/>
        <v>720</v>
      </c>
      <c r="AO36" s="222">
        <f t="shared" si="44"/>
        <v>804</v>
      </c>
      <c r="AP36" s="223">
        <f t="shared" si="45"/>
        <v>364</v>
      </c>
      <c r="AQ36" s="224">
        <f t="shared" si="46"/>
        <v>390</v>
      </c>
      <c r="AR36" s="224">
        <f t="shared" si="47"/>
        <v>468</v>
      </c>
      <c r="AS36" s="224">
        <f t="shared" si="48"/>
        <v>540</v>
      </c>
      <c r="AT36" s="225">
        <f t="shared" si="49"/>
        <v>603</v>
      </c>
    </row>
    <row r="37" spans="1:46" x14ac:dyDescent="0.25">
      <c r="A37" s="11"/>
      <c r="B37" s="11" t="s">
        <v>71</v>
      </c>
      <c r="C37" s="220">
        <f t="shared" si="12"/>
        <v>22140</v>
      </c>
      <c r="D37" s="221">
        <f t="shared" si="13"/>
        <v>25260</v>
      </c>
      <c r="E37" s="221">
        <f t="shared" si="14"/>
        <v>28440</v>
      </c>
      <c r="F37" s="221">
        <f t="shared" si="15"/>
        <v>31560</v>
      </c>
      <c r="G37" s="221">
        <f t="shared" si="16"/>
        <v>34140</v>
      </c>
      <c r="H37" s="222">
        <f t="shared" si="17"/>
        <v>36660</v>
      </c>
      <c r="I37" s="217">
        <f>'MTSP Income Limits'!G35</f>
        <v>18450</v>
      </c>
      <c r="J37" s="218">
        <f>'MTSP Income Limits'!H35</f>
        <v>21050</v>
      </c>
      <c r="K37" s="218">
        <f>'MTSP Income Limits'!I35</f>
        <v>23700</v>
      </c>
      <c r="L37" s="218">
        <f>'MTSP Income Limits'!J35</f>
        <v>26300</v>
      </c>
      <c r="M37" s="218">
        <f>'MTSP Income Limits'!K35</f>
        <v>28450</v>
      </c>
      <c r="N37" s="219">
        <f>'MTSP Income Limits'!L35</f>
        <v>30550</v>
      </c>
      <c r="O37" s="220">
        <f t="shared" si="18"/>
        <v>14760</v>
      </c>
      <c r="P37" s="221">
        <f t="shared" si="19"/>
        <v>16840</v>
      </c>
      <c r="Q37" s="221">
        <f t="shared" si="20"/>
        <v>18960</v>
      </c>
      <c r="R37" s="221">
        <f t="shared" si="21"/>
        <v>21040</v>
      </c>
      <c r="S37" s="221">
        <f t="shared" si="22"/>
        <v>22760</v>
      </c>
      <c r="T37" s="222">
        <f t="shared" si="23"/>
        <v>24440</v>
      </c>
      <c r="U37" s="223">
        <f t="shared" si="24"/>
        <v>11070</v>
      </c>
      <c r="V37" s="224">
        <f t="shared" si="25"/>
        <v>12630</v>
      </c>
      <c r="W37" s="224">
        <f t="shared" si="26"/>
        <v>14220</v>
      </c>
      <c r="X37" s="224">
        <f t="shared" si="27"/>
        <v>15780</v>
      </c>
      <c r="Y37" s="224">
        <f t="shared" si="28"/>
        <v>17070</v>
      </c>
      <c r="Z37" s="224">
        <f t="shared" si="29"/>
        <v>18330</v>
      </c>
      <c r="AA37" s="220">
        <f t="shared" si="30"/>
        <v>553</v>
      </c>
      <c r="AB37" s="221">
        <f t="shared" si="31"/>
        <v>591</v>
      </c>
      <c r="AC37" s="221">
        <f t="shared" si="32"/>
        <v>710</v>
      </c>
      <c r="AD37" s="221">
        <f t="shared" si="33"/>
        <v>820</v>
      </c>
      <c r="AE37" s="222">
        <f t="shared" si="34"/>
        <v>915</v>
      </c>
      <c r="AF37" s="223">
        <f t="shared" si="35"/>
        <v>461</v>
      </c>
      <c r="AG37" s="224">
        <f t="shared" si="36"/>
        <v>493</v>
      </c>
      <c r="AH37" s="224">
        <f t="shared" si="37"/>
        <v>592</v>
      </c>
      <c r="AI37" s="224">
        <f t="shared" si="38"/>
        <v>684</v>
      </c>
      <c r="AJ37" s="225">
        <f t="shared" si="39"/>
        <v>763</v>
      </c>
      <c r="AK37" s="220">
        <f t="shared" si="40"/>
        <v>368</v>
      </c>
      <c r="AL37" s="221">
        <f t="shared" si="41"/>
        <v>394</v>
      </c>
      <c r="AM37" s="221">
        <f t="shared" si="42"/>
        <v>473</v>
      </c>
      <c r="AN37" s="221">
        <f t="shared" si="43"/>
        <v>547</v>
      </c>
      <c r="AO37" s="222">
        <f t="shared" si="44"/>
        <v>610</v>
      </c>
      <c r="AP37" s="223">
        <f t="shared" si="45"/>
        <v>276</v>
      </c>
      <c r="AQ37" s="224">
        <f t="shared" si="46"/>
        <v>295</v>
      </c>
      <c r="AR37" s="224">
        <f t="shared" si="47"/>
        <v>355</v>
      </c>
      <c r="AS37" s="224">
        <f t="shared" si="48"/>
        <v>410</v>
      </c>
      <c r="AT37" s="225">
        <f t="shared" si="49"/>
        <v>457</v>
      </c>
    </row>
    <row r="38" spans="1:46" x14ac:dyDescent="0.25">
      <c r="A38" s="11"/>
      <c r="B38" s="11" t="s">
        <v>72</v>
      </c>
      <c r="C38" s="220">
        <f t="shared" si="12"/>
        <v>23820</v>
      </c>
      <c r="D38" s="221">
        <f t="shared" si="13"/>
        <v>27180</v>
      </c>
      <c r="E38" s="221">
        <f t="shared" si="14"/>
        <v>30600</v>
      </c>
      <c r="F38" s="221">
        <f t="shared" si="15"/>
        <v>33960</v>
      </c>
      <c r="G38" s="221">
        <f t="shared" si="16"/>
        <v>36720</v>
      </c>
      <c r="H38" s="222">
        <f t="shared" si="17"/>
        <v>39420</v>
      </c>
      <c r="I38" s="217">
        <f>'MTSP Income Limits'!G36</f>
        <v>19850</v>
      </c>
      <c r="J38" s="218">
        <f>'MTSP Income Limits'!H36</f>
        <v>22650</v>
      </c>
      <c r="K38" s="218">
        <f>'MTSP Income Limits'!I36</f>
        <v>25500</v>
      </c>
      <c r="L38" s="218">
        <f>'MTSP Income Limits'!J36</f>
        <v>28300</v>
      </c>
      <c r="M38" s="218">
        <f>'MTSP Income Limits'!K36</f>
        <v>30600</v>
      </c>
      <c r="N38" s="219">
        <f>'MTSP Income Limits'!L36</f>
        <v>32850</v>
      </c>
      <c r="O38" s="220">
        <f t="shared" si="18"/>
        <v>15880</v>
      </c>
      <c r="P38" s="221">
        <f t="shared" si="19"/>
        <v>18120</v>
      </c>
      <c r="Q38" s="221">
        <f t="shared" si="20"/>
        <v>20400</v>
      </c>
      <c r="R38" s="221">
        <f t="shared" si="21"/>
        <v>22640</v>
      </c>
      <c r="S38" s="221">
        <f t="shared" si="22"/>
        <v>24480</v>
      </c>
      <c r="T38" s="222">
        <f t="shared" si="23"/>
        <v>26280</v>
      </c>
      <c r="U38" s="223">
        <f t="shared" si="24"/>
        <v>11910</v>
      </c>
      <c r="V38" s="224">
        <f t="shared" si="25"/>
        <v>13590</v>
      </c>
      <c r="W38" s="224">
        <f t="shared" si="26"/>
        <v>15300</v>
      </c>
      <c r="X38" s="224">
        <f t="shared" si="27"/>
        <v>16980</v>
      </c>
      <c r="Y38" s="224">
        <f t="shared" si="28"/>
        <v>18360</v>
      </c>
      <c r="Z38" s="224">
        <f t="shared" si="29"/>
        <v>19710</v>
      </c>
      <c r="AA38" s="220">
        <f t="shared" si="30"/>
        <v>595</v>
      </c>
      <c r="AB38" s="221">
        <f t="shared" si="31"/>
        <v>637</v>
      </c>
      <c r="AC38" s="221">
        <f t="shared" si="32"/>
        <v>764</v>
      </c>
      <c r="AD38" s="221">
        <f t="shared" si="33"/>
        <v>883</v>
      </c>
      <c r="AE38" s="222">
        <f t="shared" si="34"/>
        <v>985</v>
      </c>
      <c r="AF38" s="223">
        <f t="shared" si="35"/>
        <v>496</v>
      </c>
      <c r="AG38" s="224">
        <f t="shared" si="36"/>
        <v>531</v>
      </c>
      <c r="AH38" s="224">
        <f t="shared" si="37"/>
        <v>637</v>
      </c>
      <c r="AI38" s="224">
        <f t="shared" si="38"/>
        <v>736</v>
      </c>
      <c r="AJ38" s="225">
        <f t="shared" si="39"/>
        <v>821</v>
      </c>
      <c r="AK38" s="220">
        <f t="shared" si="40"/>
        <v>396</v>
      </c>
      <c r="AL38" s="221">
        <f t="shared" si="41"/>
        <v>424</v>
      </c>
      <c r="AM38" s="221">
        <f t="shared" si="42"/>
        <v>509</v>
      </c>
      <c r="AN38" s="221">
        <f t="shared" si="43"/>
        <v>588</v>
      </c>
      <c r="AO38" s="222">
        <f t="shared" si="44"/>
        <v>656</v>
      </c>
      <c r="AP38" s="223">
        <f t="shared" si="45"/>
        <v>297</v>
      </c>
      <c r="AQ38" s="224">
        <f t="shared" si="46"/>
        <v>318</v>
      </c>
      <c r="AR38" s="224">
        <f t="shared" si="47"/>
        <v>382</v>
      </c>
      <c r="AS38" s="224">
        <f t="shared" si="48"/>
        <v>441</v>
      </c>
      <c r="AT38" s="225">
        <f t="shared" si="49"/>
        <v>492</v>
      </c>
    </row>
    <row r="39" spans="1:46" x14ac:dyDescent="0.25">
      <c r="A39" s="11"/>
      <c r="B39" s="11" t="s">
        <v>73</v>
      </c>
      <c r="C39" s="220">
        <f t="shared" si="12"/>
        <v>20760</v>
      </c>
      <c r="D39" s="221">
        <f t="shared" si="13"/>
        <v>23760</v>
      </c>
      <c r="E39" s="221">
        <f t="shared" si="14"/>
        <v>26700</v>
      </c>
      <c r="F39" s="221">
        <f t="shared" si="15"/>
        <v>29640</v>
      </c>
      <c r="G39" s="221">
        <f t="shared" si="16"/>
        <v>32040</v>
      </c>
      <c r="H39" s="222">
        <f t="shared" si="17"/>
        <v>34440</v>
      </c>
      <c r="I39" s="217">
        <f>'MTSP Income Limits'!G37</f>
        <v>17300</v>
      </c>
      <c r="J39" s="218">
        <f>'MTSP Income Limits'!H37</f>
        <v>19800</v>
      </c>
      <c r="K39" s="218">
        <f>'MTSP Income Limits'!I37</f>
        <v>22250</v>
      </c>
      <c r="L39" s="218">
        <f>'MTSP Income Limits'!J37</f>
        <v>24700</v>
      </c>
      <c r="M39" s="218">
        <f>'MTSP Income Limits'!K37</f>
        <v>26700</v>
      </c>
      <c r="N39" s="219">
        <f>'MTSP Income Limits'!L37</f>
        <v>28700</v>
      </c>
      <c r="O39" s="220">
        <f t="shared" si="18"/>
        <v>13840</v>
      </c>
      <c r="P39" s="221">
        <f t="shared" si="19"/>
        <v>15840</v>
      </c>
      <c r="Q39" s="221">
        <f t="shared" si="20"/>
        <v>17800</v>
      </c>
      <c r="R39" s="221">
        <f t="shared" si="21"/>
        <v>19760</v>
      </c>
      <c r="S39" s="221">
        <f t="shared" si="22"/>
        <v>21360</v>
      </c>
      <c r="T39" s="222">
        <f t="shared" si="23"/>
        <v>22960</v>
      </c>
      <c r="U39" s="223">
        <f t="shared" si="24"/>
        <v>10380</v>
      </c>
      <c r="V39" s="224">
        <f t="shared" si="25"/>
        <v>11880</v>
      </c>
      <c r="W39" s="224">
        <f t="shared" si="26"/>
        <v>13350</v>
      </c>
      <c r="X39" s="224">
        <f t="shared" si="27"/>
        <v>14820</v>
      </c>
      <c r="Y39" s="224">
        <f t="shared" si="28"/>
        <v>16020</v>
      </c>
      <c r="Z39" s="224">
        <f t="shared" si="29"/>
        <v>17220</v>
      </c>
      <c r="AA39" s="220">
        <f t="shared" si="30"/>
        <v>518</v>
      </c>
      <c r="AB39" s="221">
        <f t="shared" si="31"/>
        <v>555</v>
      </c>
      <c r="AC39" s="221">
        <f t="shared" si="32"/>
        <v>667</v>
      </c>
      <c r="AD39" s="221">
        <f t="shared" si="33"/>
        <v>770</v>
      </c>
      <c r="AE39" s="222">
        <f t="shared" si="34"/>
        <v>860</v>
      </c>
      <c r="AF39" s="223">
        <f t="shared" si="35"/>
        <v>432</v>
      </c>
      <c r="AG39" s="224">
        <f t="shared" si="36"/>
        <v>463</v>
      </c>
      <c r="AH39" s="224">
        <f t="shared" si="37"/>
        <v>556</v>
      </c>
      <c r="AI39" s="224">
        <f t="shared" si="38"/>
        <v>642</v>
      </c>
      <c r="AJ39" s="225">
        <f t="shared" si="39"/>
        <v>717</v>
      </c>
      <c r="AK39" s="220">
        <f t="shared" si="40"/>
        <v>345</v>
      </c>
      <c r="AL39" s="221">
        <f t="shared" si="41"/>
        <v>370</v>
      </c>
      <c r="AM39" s="221">
        <f t="shared" si="42"/>
        <v>444</v>
      </c>
      <c r="AN39" s="221">
        <f t="shared" si="43"/>
        <v>513</v>
      </c>
      <c r="AO39" s="222">
        <f t="shared" si="44"/>
        <v>573</v>
      </c>
      <c r="AP39" s="223">
        <f t="shared" si="45"/>
        <v>259</v>
      </c>
      <c r="AQ39" s="224">
        <f t="shared" si="46"/>
        <v>277</v>
      </c>
      <c r="AR39" s="224">
        <f t="shared" si="47"/>
        <v>333</v>
      </c>
      <c r="AS39" s="224">
        <f t="shared" si="48"/>
        <v>385</v>
      </c>
      <c r="AT39" s="225">
        <f t="shared" si="49"/>
        <v>430</v>
      </c>
    </row>
    <row r="40" spans="1:46" x14ac:dyDescent="0.25">
      <c r="A40" s="11"/>
      <c r="B40" s="11" t="s">
        <v>74</v>
      </c>
      <c r="C40" s="220">
        <f t="shared" si="12"/>
        <v>27600</v>
      </c>
      <c r="D40" s="221">
        <f t="shared" si="13"/>
        <v>31560</v>
      </c>
      <c r="E40" s="221">
        <f t="shared" si="14"/>
        <v>35520</v>
      </c>
      <c r="F40" s="221">
        <f t="shared" si="15"/>
        <v>39420</v>
      </c>
      <c r="G40" s="221">
        <f t="shared" si="16"/>
        <v>42600</v>
      </c>
      <c r="H40" s="222">
        <f t="shared" si="17"/>
        <v>45780</v>
      </c>
      <c r="I40" s="217">
        <f>'MTSP Income Limits'!G38</f>
        <v>23000</v>
      </c>
      <c r="J40" s="218">
        <f>'MTSP Income Limits'!H38</f>
        <v>26300</v>
      </c>
      <c r="K40" s="218">
        <f>'MTSP Income Limits'!I38</f>
        <v>29600</v>
      </c>
      <c r="L40" s="218">
        <f>'MTSP Income Limits'!J38</f>
        <v>32850</v>
      </c>
      <c r="M40" s="218">
        <f>'MTSP Income Limits'!K38</f>
        <v>35500</v>
      </c>
      <c r="N40" s="219">
        <f>'MTSP Income Limits'!L38</f>
        <v>38150</v>
      </c>
      <c r="O40" s="220">
        <f t="shared" si="18"/>
        <v>18400</v>
      </c>
      <c r="P40" s="221">
        <f t="shared" si="19"/>
        <v>21040</v>
      </c>
      <c r="Q40" s="221">
        <f t="shared" si="20"/>
        <v>23680</v>
      </c>
      <c r="R40" s="221">
        <f t="shared" si="21"/>
        <v>26280</v>
      </c>
      <c r="S40" s="221">
        <f t="shared" si="22"/>
        <v>28400</v>
      </c>
      <c r="T40" s="222">
        <f t="shared" si="23"/>
        <v>30520</v>
      </c>
      <c r="U40" s="223">
        <f t="shared" si="24"/>
        <v>13800</v>
      </c>
      <c r="V40" s="224">
        <f t="shared" si="25"/>
        <v>15780</v>
      </c>
      <c r="W40" s="224">
        <f t="shared" si="26"/>
        <v>17760</v>
      </c>
      <c r="X40" s="224">
        <f t="shared" si="27"/>
        <v>19710</v>
      </c>
      <c r="Y40" s="224">
        <f t="shared" si="28"/>
        <v>21300</v>
      </c>
      <c r="Z40" s="224">
        <f t="shared" si="29"/>
        <v>22890</v>
      </c>
      <c r="AA40" s="220">
        <f t="shared" si="30"/>
        <v>690</v>
      </c>
      <c r="AB40" s="221">
        <f t="shared" si="31"/>
        <v>739</v>
      </c>
      <c r="AC40" s="221">
        <f t="shared" si="32"/>
        <v>888</v>
      </c>
      <c r="AD40" s="221">
        <f t="shared" si="33"/>
        <v>1024</v>
      </c>
      <c r="AE40" s="222">
        <f t="shared" si="34"/>
        <v>1143</v>
      </c>
      <c r="AF40" s="223">
        <f t="shared" si="35"/>
        <v>575</v>
      </c>
      <c r="AG40" s="224">
        <f t="shared" si="36"/>
        <v>616</v>
      </c>
      <c r="AH40" s="224">
        <f t="shared" si="37"/>
        <v>740</v>
      </c>
      <c r="AI40" s="224">
        <f t="shared" si="38"/>
        <v>854</v>
      </c>
      <c r="AJ40" s="225">
        <f t="shared" si="39"/>
        <v>953</v>
      </c>
      <c r="AK40" s="220">
        <f t="shared" si="40"/>
        <v>460</v>
      </c>
      <c r="AL40" s="221">
        <f t="shared" si="41"/>
        <v>492</v>
      </c>
      <c r="AM40" s="221">
        <f t="shared" si="42"/>
        <v>592</v>
      </c>
      <c r="AN40" s="221">
        <f t="shared" si="43"/>
        <v>683</v>
      </c>
      <c r="AO40" s="222">
        <f t="shared" si="44"/>
        <v>762</v>
      </c>
      <c r="AP40" s="223">
        <f t="shared" si="45"/>
        <v>345</v>
      </c>
      <c r="AQ40" s="224">
        <f t="shared" si="46"/>
        <v>369</v>
      </c>
      <c r="AR40" s="224">
        <f t="shared" si="47"/>
        <v>444</v>
      </c>
      <c r="AS40" s="224">
        <f t="shared" si="48"/>
        <v>512</v>
      </c>
      <c r="AT40" s="225">
        <f t="shared" si="49"/>
        <v>571</v>
      </c>
    </row>
    <row r="41" spans="1:46" x14ac:dyDescent="0.25">
      <c r="A41" s="11"/>
      <c r="B41" s="11" t="s">
        <v>75</v>
      </c>
      <c r="C41" s="220">
        <f t="shared" ref="C41:C72" si="50">I41*1.2</f>
        <v>21060</v>
      </c>
      <c r="D41" s="221">
        <f t="shared" ref="D41:D72" si="51">J41*1.2</f>
        <v>24060</v>
      </c>
      <c r="E41" s="221">
        <f t="shared" ref="E41:E72" si="52">K41*1.2</f>
        <v>27060</v>
      </c>
      <c r="F41" s="221">
        <f t="shared" ref="F41:F72" si="53">L41*1.2</f>
        <v>30060</v>
      </c>
      <c r="G41" s="221">
        <f t="shared" ref="G41:G72" si="54">M41*1.2</f>
        <v>32520</v>
      </c>
      <c r="H41" s="222">
        <f t="shared" ref="H41:H72" si="55">N41*1.2</f>
        <v>34920</v>
      </c>
      <c r="I41" s="217">
        <f>'MTSP Income Limits'!G39</f>
        <v>17550</v>
      </c>
      <c r="J41" s="218">
        <f>'MTSP Income Limits'!H39</f>
        <v>20050</v>
      </c>
      <c r="K41" s="218">
        <f>'MTSP Income Limits'!I39</f>
        <v>22550</v>
      </c>
      <c r="L41" s="218">
        <f>'MTSP Income Limits'!J39</f>
        <v>25050</v>
      </c>
      <c r="M41" s="218">
        <f>'MTSP Income Limits'!K39</f>
        <v>27100</v>
      </c>
      <c r="N41" s="219">
        <f>'MTSP Income Limits'!L39</f>
        <v>29100</v>
      </c>
      <c r="O41" s="220">
        <f t="shared" ref="O41:O72" si="56">I41*0.8</f>
        <v>14040</v>
      </c>
      <c r="P41" s="221">
        <f t="shared" ref="P41:P72" si="57">J41*0.8</f>
        <v>16040</v>
      </c>
      <c r="Q41" s="221">
        <f t="shared" ref="Q41:Q72" si="58">K41*0.8</f>
        <v>18040</v>
      </c>
      <c r="R41" s="221">
        <f t="shared" ref="R41:R72" si="59">L41*0.8</f>
        <v>20040</v>
      </c>
      <c r="S41" s="221">
        <f t="shared" ref="S41:S72" si="60">M41*0.8</f>
        <v>21680</v>
      </c>
      <c r="T41" s="222">
        <f t="shared" ref="T41:T72" si="61">N41*0.8</f>
        <v>23280</v>
      </c>
      <c r="U41" s="223">
        <f t="shared" ref="U41:U72" si="62">I41*0.6</f>
        <v>10530</v>
      </c>
      <c r="V41" s="224">
        <f t="shared" ref="V41:V72" si="63">J41*0.6</f>
        <v>12030</v>
      </c>
      <c r="W41" s="224">
        <f t="shared" ref="W41:W72" si="64">K41*0.6</f>
        <v>13530</v>
      </c>
      <c r="X41" s="224">
        <f t="shared" ref="X41:X72" si="65">L41*0.6</f>
        <v>15030</v>
      </c>
      <c r="Y41" s="224">
        <f t="shared" ref="Y41:Y72" si="66">M41*0.6</f>
        <v>16260</v>
      </c>
      <c r="Z41" s="224">
        <f t="shared" ref="Z41:Z72" si="67">N41*0.6</f>
        <v>17460</v>
      </c>
      <c r="AA41" s="220">
        <f t="shared" ref="AA41:AA72" si="68">ROUNDDOWN(AF41*1.2,0)</f>
        <v>525</v>
      </c>
      <c r="AB41" s="221">
        <f t="shared" ref="AB41:AB72" si="69">ROUNDDOWN(AG41*1.2,0)</f>
        <v>564</v>
      </c>
      <c r="AC41" s="221">
        <f t="shared" ref="AC41:AC72" si="70">ROUNDDOWN(AH41*1.2,0)</f>
        <v>675</v>
      </c>
      <c r="AD41" s="221">
        <f t="shared" ref="AD41:AD72" si="71">ROUNDDOWN(AI41*1.2,0)</f>
        <v>781</v>
      </c>
      <c r="AE41" s="222">
        <f t="shared" ref="AE41:AE72" si="72">ROUNDDOWN(AJ41*1.2,0)</f>
        <v>872</v>
      </c>
      <c r="AF41" s="223">
        <f t="shared" ref="AF41:AF72" si="73">ROUNDDOWN(I41*0.3/12,0)</f>
        <v>438</v>
      </c>
      <c r="AG41" s="224">
        <f t="shared" ref="AG41:AG72" si="74">ROUNDDOWN(((I41+J41)/2)*0.3/12,0)</f>
        <v>470</v>
      </c>
      <c r="AH41" s="224">
        <f t="shared" ref="AH41:AH72" si="75">ROUNDDOWN(K41*0.3/12,0)</f>
        <v>563</v>
      </c>
      <c r="AI41" s="224">
        <f t="shared" ref="AI41:AI72" si="76">ROUNDDOWN(((L41+M41)/2)*0.3/12,0)</f>
        <v>651</v>
      </c>
      <c r="AJ41" s="225">
        <f t="shared" ref="AJ41:AJ72" si="77">ROUNDDOWN(N41*0.3/12,0)</f>
        <v>727</v>
      </c>
      <c r="AK41" s="220">
        <f t="shared" ref="AK41:AK72" si="78">ROUNDDOWN(AF41*0.8,0)</f>
        <v>350</v>
      </c>
      <c r="AL41" s="221">
        <f t="shared" ref="AL41:AL72" si="79">ROUNDDOWN(AG41*0.8,0)</f>
        <v>376</v>
      </c>
      <c r="AM41" s="221">
        <f t="shared" ref="AM41:AM72" si="80">ROUNDDOWN(AH41*0.8,0)</f>
        <v>450</v>
      </c>
      <c r="AN41" s="221">
        <f t="shared" ref="AN41:AN72" si="81">ROUNDDOWN(AI41*0.8,0)</f>
        <v>520</v>
      </c>
      <c r="AO41" s="222">
        <f t="shared" ref="AO41:AO72" si="82">ROUNDDOWN(AJ41*0.8,0)</f>
        <v>581</v>
      </c>
      <c r="AP41" s="223">
        <f t="shared" ref="AP41:AP72" si="83">ROUNDDOWN(AF41*0.6,0)</f>
        <v>262</v>
      </c>
      <c r="AQ41" s="224">
        <f t="shared" ref="AQ41:AQ72" si="84">ROUNDDOWN(AG41*0.6,0)</f>
        <v>282</v>
      </c>
      <c r="AR41" s="224">
        <f t="shared" ref="AR41:AR72" si="85">ROUNDDOWN(AH41*0.6,0)</f>
        <v>337</v>
      </c>
      <c r="AS41" s="224">
        <f t="shared" ref="AS41:AS72" si="86">ROUNDDOWN(AI41*0.6,0)</f>
        <v>390</v>
      </c>
      <c r="AT41" s="225">
        <f t="shared" ref="AT41:AT72" si="87">ROUNDDOWN(AJ41*0.6,0)</f>
        <v>436</v>
      </c>
    </row>
    <row r="42" spans="1:46" x14ac:dyDescent="0.25">
      <c r="A42" s="11"/>
      <c r="B42" s="11" t="s">
        <v>76</v>
      </c>
      <c r="C42" s="220">
        <f t="shared" si="50"/>
        <v>23820</v>
      </c>
      <c r="D42" s="221">
        <f t="shared" si="51"/>
        <v>27180</v>
      </c>
      <c r="E42" s="221">
        <f t="shared" si="52"/>
        <v>30600</v>
      </c>
      <c r="F42" s="221">
        <f t="shared" si="53"/>
        <v>33960</v>
      </c>
      <c r="G42" s="221">
        <f t="shared" si="54"/>
        <v>36720</v>
      </c>
      <c r="H42" s="222">
        <f t="shared" si="55"/>
        <v>39420</v>
      </c>
      <c r="I42" s="217">
        <f>'MTSP Income Limits'!G40</f>
        <v>19850</v>
      </c>
      <c r="J42" s="218">
        <f>'MTSP Income Limits'!H40</f>
        <v>22650</v>
      </c>
      <c r="K42" s="218">
        <f>'MTSP Income Limits'!I40</f>
        <v>25500</v>
      </c>
      <c r="L42" s="218">
        <f>'MTSP Income Limits'!J40</f>
        <v>28300</v>
      </c>
      <c r="M42" s="218">
        <f>'MTSP Income Limits'!K40</f>
        <v>30600</v>
      </c>
      <c r="N42" s="219">
        <f>'MTSP Income Limits'!L40</f>
        <v>32850</v>
      </c>
      <c r="O42" s="220">
        <f t="shared" si="56"/>
        <v>15880</v>
      </c>
      <c r="P42" s="221">
        <f t="shared" si="57"/>
        <v>18120</v>
      </c>
      <c r="Q42" s="221">
        <f t="shared" si="58"/>
        <v>20400</v>
      </c>
      <c r="R42" s="221">
        <f t="shared" si="59"/>
        <v>22640</v>
      </c>
      <c r="S42" s="221">
        <f t="shared" si="60"/>
        <v>24480</v>
      </c>
      <c r="T42" s="222">
        <f t="shared" si="61"/>
        <v>26280</v>
      </c>
      <c r="U42" s="223">
        <f t="shared" si="62"/>
        <v>11910</v>
      </c>
      <c r="V42" s="224">
        <f t="shared" si="63"/>
        <v>13590</v>
      </c>
      <c r="W42" s="224">
        <f t="shared" si="64"/>
        <v>15300</v>
      </c>
      <c r="X42" s="224">
        <f t="shared" si="65"/>
        <v>16980</v>
      </c>
      <c r="Y42" s="224">
        <f t="shared" si="66"/>
        <v>18360</v>
      </c>
      <c r="Z42" s="224">
        <f t="shared" si="67"/>
        <v>19710</v>
      </c>
      <c r="AA42" s="220">
        <f t="shared" si="68"/>
        <v>595</v>
      </c>
      <c r="AB42" s="221">
        <f t="shared" si="69"/>
        <v>637</v>
      </c>
      <c r="AC42" s="221">
        <f t="shared" si="70"/>
        <v>764</v>
      </c>
      <c r="AD42" s="221">
        <f t="shared" si="71"/>
        <v>883</v>
      </c>
      <c r="AE42" s="222">
        <f t="shared" si="72"/>
        <v>985</v>
      </c>
      <c r="AF42" s="223">
        <f t="shared" si="73"/>
        <v>496</v>
      </c>
      <c r="AG42" s="224">
        <f t="shared" si="74"/>
        <v>531</v>
      </c>
      <c r="AH42" s="224">
        <f t="shared" si="75"/>
        <v>637</v>
      </c>
      <c r="AI42" s="224">
        <f t="shared" si="76"/>
        <v>736</v>
      </c>
      <c r="AJ42" s="225">
        <f t="shared" si="77"/>
        <v>821</v>
      </c>
      <c r="AK42" s="220">
        <f t="shared" si="78"/>
        <v>396</v>
      </c>
      <c r="AL42" s="221">
        <f t="shared" si="79"/>
        <v>424</v>
      </c>
      <c r="AM42" s="221">
        <f t="shared" si="80"/>
        <v>509</v>
      </c>
      <c r="AN42" s="221">
        <f t="shared" si="81"/>
        <v>588</v>
      </c>
      <c r="AO42" s="222">
        <f t="shared" si="82"/>
        <v>656</v>
      </c>
      <c r="AP42" s="223">
        <f t="shared" si="83"/>
        <v>297</v>
      </c>
      <c r="AQ42" s="224">
        <f t="shared" si="84"/>
        <v>318</v>
      </c>
      <c r="AR42" s="224">
        <f t="shared" si="85"/>
        <v>382</v>
      </c>
      <c r="AS42" s="224">
        <f t="shared" si="86"/>
        <v>441</v>
      </c>
      <c r="AT42" s="225">
        <f t="shared" si="87"/>
        <v>492</v>
      </c>
    </row>
    <row r="43" spans="1:46" x14ac:dyDescent="0.25">
      <c r="A43" s="11"/>
      <c r="B43" s="11" t="s">
        <v>77</v>
      </c>
      <c r="C43" s="220">
        <f t="shared" si="50"/>
        <v>31860</v>
      </c>
      <c r="D43" s="221">
        <f t="shared" si="51"/>
        <v>36420</v>
      </c>
      <c r="E43" s="221">
        <f t="shared" si="52"/>
        <v>40980</v>
      </c>
      <c r="F43" s="221">
        <f t="shared" si="53"/>
        <v>45480</v>
      </c>
      <c r="G43" s="221">
        <f t="shared" si="54"/>
        <v>49140</v>
      </c>
      <c r="H43" s="222">
        <f t="shared" si="55"/>
        <v>52800</v>
      </c>
      <c r="I43" s="217">
        <f>'MTSP Income Limits'!G41</f>
        <v>26550</v>
      </c>
      <c r="J43" s="218">
        <f>'MTSP Income Limits'!H41</f>
        <v>30350</v>
      </c>
      <c r="K43" s="218">
        <f>'MTSP Income Limits'!I41</f>
        <v>34150</v>
      </c>
      <c r="L43" s="218">
        <f>'MTSP Income Limits'!J41</f>
        <v>37900</v>
      </c>
      <c r="M43" s="218">
        <f>'MTSP Income Limits'!K41</f>
        <v>40950</v>
      </c>
      <c r="N43" s="219">
        <f>'MTSP Income Limits'!L41</f>
        <v>44000</v>
      </c>
      <c r="O43" s="220">
        <f t="shared" si="56"/>
        <v>21240</v>
      </c>
      <c r="P43" s="221">
        <f t="shared" si="57"/>
        <v>24280</v>
      </c>
      <c r="Q43" s="221">
        <f t="shared" si="58"/>
        <v>27320</v>
      </c>
      <c r="R43" s="221">
        <f t="shared" si="59"/>
        <v>30320</v>
      </c>
      <c r="S43" s="221">
        <f t="shared" si="60"/>
        <v>32760</v>
      </c>
      <c r="T43" s="222">
        <f t="shared" si="61"/>
        <v>35200</v>
      </c>
      <c r="U43" s="223">
        <f t="shared" si="62"/>
        <v>15930</v>
      </c>
      <c r="V43" s="224">
        <f t="shared" si="63"/>
        <v>18210</v>
      </c>
      <c r="W43" s="224">
        <f t="shared" si="64"/>
        <v>20490</v>
      </c>
      <c r="X43" s="224">
        <f t="shared" si="65"/>
        <v>22740</v>
      </c>
      <c r="Y43" s="224">
        <f t="shared" si="66"/>
        <v>24570</v>
      </c>
      <c r="Z43" s="224">
        <f t="shared" si="67"/>
        <v>26400</v>
      </c>
      <c r="AA43" s="220">
        <f t="shared" si="68"/>
        <v>795</v>
      </c>
      <c r="AB43" s="221">
        <f t="shared" si="69"/>
        <v>853</v>
      </c>
      <c r="AC43" s="221">
        <f t="shared" si="70"/>
        <v>1023</v>
      </c>
      <c r="AD43" s="221">
        <f t="shared" si="71"/>
        <v>1182</v>
      </c>
      <c r="AE43" s="222">
        <f t="shared" si="72"/>
        <v>1320</v>
      </c>
      <c r="AF43" s="223">
        <f t="shared" si="73"/>
        <v>663</v>
      </c>
      <c r="AG43" s="224">
        <f t="shared" si="74"/>
        <v>711</v>
      </c>
      <c r="AH43" s="224">
        <f t="shared" si="75"/>
        <v>853</v>
      </c>
      <c r="AI43" s="224">
        <f t="shared" si="76"/>
        <v>985</v>
      </c>
      <c r="AJ43" s="225">
        <f t="shared" si="77"/>
        <v>1100</v>
      </c>
      <c r="AK43" s="220">
        <f t="shared" si="78"/>
        <v>530</v>
      </c>
      <c r="AL43" s="221">
        <f t="shared" si="79"/>
        <v>568</v>
      </c>
      <c r="AM43" s="221">
        <f t="shared" si="80"/>
        <v>682</v>
      </c>
      <c r="AN43" s="221">
        <f t="shared" si="81"/>
        <v>788</v>
      </c>
      <c r="AO43" s="222">
        <f t="shared" si="82"/>
        <v>880</v>
      </c>
      <c r="AP43" s="223">
        <f t="shared" si="83"/>
        <v>397</v>
      </c>
      <c r="AQ43" s="224">
        <f t="shared" si="84"/>
        <v>426</v>
      </c>
      <c r="AR43" s="224">
        <f t="shared" si="85"/>
        <v>511</v>
      </c>
      <c r="AS43" s="224">
        <f t="shared" si="86"/>
        <v>591</v>
      </c>
      <c r="AT43" s="225">
        <f t="shared" si="87"/>
        <v>660</v>
      </c>
    </row>
    <row r="44" spans="1:46" x14ac:dyDescent="0.25">
      <c r="A44" s="11"/>
      <c r="B44" s="11" t="s">
        <v>78</v>
      </c>
      <c r="C44" s="220">
        <f t="shared" si="50"/>
        <v>27000</v>
      </c>
      <c r="D44" s="221">
        <f t="shared" si="51"/>
        <v>30840</v>
      </c>
      <c r="E44" s="221">
        <f t="shared" si="52"/>
        <v>34680</v>
      </c>
      <c r="F44" s="221">
        <f t="shared" si="53"/>
        <v>38520</v>
      </c>
      <c r="G44" s="221">
        <f t="shared" si="54"/>
        <v>41640</v>
      </c>
      <c r="H44" s="222">
        <f t="shared" si="55"/>
        <v>44700</v>
      </c>
      <c r="I44" s="217">
        <f>'MTSP Income Limits'!G42</f>
        <v>22500</v>
      </c>
      <c r="J44" s="218">
        <f>'MTSP Income Limits'!H42</f>
        <v>25700</v>
      </c>
      <c r="K44" s="218">
        <f>'MTSP Income Limits'!I42</f>
        <v>28900</v>
      </c>
      <c r="L44" s="218">
        <f>'MTSP Income Limits'!J42</f>
        <v>32100</v>
      </c>
      <c r="M44" s="218">
        <f>'MTSP Income Limits'!K42</f>
        <v>34700</v>
      </c>
      <c r="N44" s="219">
        <f>'MTSP Income Limits'!L42</f>
        <v>37250</v>
      </c>
      <c r="O44" s="220">
        <f t="shared" si="56"/>
        <v>18000</v>
      </c>
      <c r="P44" s="221">
        <f t="shared" si="57"/>
        <v>20560</v>
      </c>
      <c r="Q44" s="221">
        <f t="shared" si="58"/>
        <v>23120</v>
      </c>
      <c r="R44" s="221">
        <f t="shared" si="59"/>
        <v>25680</v>
      </c>
      <c r="S44" s="221">
        <f t="shared" si="60"/>
        <v>27760</v>
      </c>
      <c r="T44" s="222">
        <f t="shared" si="61"/>
        <v>29800</v>
      </c>
      <c r="U44" s="223">
        <f t="shared" si="62"/>
        <v>13500</v>
      </c>
      <c r="V44" s="224">
        <f t="shared" si="63"/>
        <v>15420</v>
      </c>
      <c r="W44" s="224">
        <f t="shared" si="64"/>
        <v>17340</v>
      </c>
      <c r="X44" s="224">
        <f t="shared" si="65"/>
        <v>19260</v>
      </c>
      <c r="Y44" s="224">
        <f t="shared" si="66"/>
        <v>20820</v>
      </c>
      <c r="Z44" s="224">
        <f t="shared" si="67"/>
        <v>22350</v>
      </c>
      <c r="AA44" s="220">
        <f t="shared" si="68"/>
        <v>674</v>
      </c>
      <c r="AB44" s="221">
        <f t="shared" si="69"/>
        <v>722</v>
      </c>
      <c r="AC44" s="221">
        <f t="shared" si="70"/>
        <v>866</v>
      </c>
      <c r="AD44" s="221">
        <f t="shared" si="71"/>
        <v>1002</v>
      </c>
      <c r="AE44" s="222">
        <f t="shared" si="72"/>
        <v>1117</v>
      </c>
      <c r="AF44" s="223">
        <f t="shared" si="73"/>
        <v>562</v>
      </c>
      <c r="AG44" s="224">
        <f t="shared" si="74"/>
        <v>602</v>
      </c>
      <c r="AH44" s="224">
        <f t="shared" si="75"/>
        <v>722</v>
      </c>
      <c r="AI44" s="224">
        <f t="shared" si="76"/>
        <v>835</v>
      </c>
      <c r="AJ44" s="225">
        <f t="shared" si="77"/>
        <v>931</v>
      </c>
      <c r="AK44" s="220">
        <f t="shared" si="78"/>
        <v>449</v>
      </c>
      <c r="AL44" s="221">
        <f t="shared" si="79"/>
        <v>481</v>
      </c>
      <c r="AM44" s="221">
        <f t="shared" si="80"/>
        <v>577</v>
      </c>
      <c r="AN44" s="221">
        <f t="shared" si="81"/>
        <v>668</v>
      </c>
      <c r="AO44" s="222">
        <f t="shared" si="82"/>
        <v>744</v>
      </c>
      <c r="AP44" s="223">
        <f t="shared" si="83"/>
        <v>337</v>
      </c>
      <c r="AQ44" s="224">
        <f t="shared" si="84"/>
        <v>361</v>
      </c>
      <c r="AR44" s="224">
        <f t="shared" si="85"/>
        <v>433</v>
      </c>
      <c r="AS44" s="224">
        <f t="shared" si="86"/>
        <v>501</v>
      </c>
      <c r="AT44" s="225">
        <f t="shared" si="87"/>
        <v>558</v>
      </c>
    </row>
    <row r="45" spans="1:46" x14ac:dyDescent="0.25">
      <c r="A45" s="11"/>
      <c r="B45" s="11" t="s">
        <v>79</v>
      </c>
      <c r="C45" s="220">
        <f t="shared" si="50"/>
        <v>24660</v>
      </c>
      <c r="D45" s="221">
        <f t="shared" si="51"/>
        <v>28140</v>
      </c>
      <c r="E45" s="221">
        <f t="shared" si="52"/>
        <v>31680</v>
      </c>
      <c r="F45" s="221">
        <f t="shared" si="53"/>
        <v>35160</v>
      </c>
      <c r="G45" s="221">
        <f t="shared" si="54"/>
        <v>37980</v>
      </c>
      <c r="H45" s="222">
        <f t="shared" si="55"/>
        <v>40800</v>
      </c>
      <c r="I45" s="217">
        <f>'MTSP Income Limits'!G43</f>
        <v>20550</v>
      </c>
      <c r="J45" s="218">
        <f>'MTSP Income Limits'!H43</f>
        <v>23450</v>
      </c>
      <c r="K45" s="218">
        <f>'MTSP Income Limits'!I43</f>
        <v>26400</v>
      </c>
      <c r="L45" s="218">
        <f>'MTSP Income Limits'!J43</f>
        <v>29300</v>
      </c>
      <c r="M45" s="218">
        <f>'MTSP Income Limits'!K43</f>
        <v>31650</v>
      </c>
      <c r="N45" s="219">
        <f>'MTSP Income Limits'!L43</f>
        <v>34000</v>
      </c>
      <c r="O45" s="220">
        <f t="shared" si="56"/>
        <v>16440</v>
      </c>
      <c r="P45" s="221">
        <f t="shared" si="57"/>
        <v>18760</v>
      </c>
      <c r="Q45" s="221">
        <f t="shared" si="58"/>
        <v>21120</v>
      </c>
      <c r="R45" s="221">
        <f t="shared" si="59"/>
        <v>23440</v>
      </c>
      <c r="S45" s="221">
        <f t="shared" si="60"/>
        <v>25320</v>
      </c>
      <c r="T45" s="222">
        <f t="shared" si="61"/>
        <v>27200</v>
      </c>
      <c r="U45" s="223">
        <f t="shared" si="62"/>
        <v>12330</v>
      </c>
      <c r="V45" s="224">
        <f t="shared" si="63"/>
        <v>14070</v>
      </c>
      <c r="W45" s="224">
        <f t="shared" si="64"/>
        <v>15840</v>
      </c>
      <c r="X45" s="224">
        <f t="shared" si="65"/>
        <v>17580</v>
      </c>
      <c r="Y45" s="224">
        <f t="shared" si="66"/>
        <v>18990</v>
      </c>
      <c r="Z45" s="224">
        <f t="shared" si="67"/>
        <v>20400</v>
      </c>
      <c r="AA45" s="220">
        <f t="shared" si="68"/>
        <v>615</v>
      </c>
      <c r="AB45" s="221">
        <f t="shared" si="69"/>
        <v>660</v>
      </c>
      <c r="AC45" s="221">
        <f t="shared" si="70"/>
        <v>792</v>
      </c>
      <c r="AD45" s="221">
        <f t="shared" si="71"/>
        <v>913</v>
      </c>
      <c r="AE45" s="222">
        <f t="shared" si="72"/>
        <v>1020</v>
      </c>
      <c r="AF45" s="223">
        <f t="shared" si="73"/>
        <v>513</v>
      </c>
      <c r="AG45" s="224">
        <f t="shared" si="74"/>
        <v>550</v>
      </c>
      <c r="AH45" s="224">
        <f t="shared" si="75"/>
        <v>660</v>
      </c>
      <c r="AI45" s="224">
        <f t="shared" si="76"/>
        <v>761</v>
      </c>
      <c r="AJ45" s="225">
        <f t="shared" si="77"/>
        <v>850</v>
      </c>
      <c r="AK45" s="220">
        <f t="shared" si="78"/>
        <v>410</v>
      </c>
      <c r="AL45" s="221">
        <f t="shared" si="79"/>
        <v>440</v>
      </c>
      <c r="AM45" s="221">
        <f t="shared" si="80"/>
        <v>528</v>
      </c>
      <c r="AN45" s="221">
        <f t="shared" si="81"/>
        <v>608</v>
      </c>
      <c r="AO45" s="222">
        <f t="shared" si="82"/>
        <v>680</v>
      </c>
      <c r="AP45" s="223">
        <f t="shared" si="83"/>
        <v>307</v>
      </c>
      <c r="AQ45" s="224">
        <f t="shared" si="84"/>
        <v>330</v>
      </c>
      <c r="AR45" s="224">
        <f t="shared" si="85"/>
        <v>396</v>
      </c>
      <c r="AS45" s="224">
        <f t="shared" si="86"/>
        <v>456</v>
      </c>
      <c r="AT45" s="225">
        <f t="shared" si="87"/>
        <v>510</v>
      </c>
    </row>
    <row r="46" spans="1:46" x14ac:dyDescent="0.25">
      <c r="A46" s="11"/>
      <c r="B46" s="11" t="s">
        <v>80</v>
      </c>
      <c r="C46" s="220">
        <f t="shared" si="50"/>
        <v>20760</v>
      </c>
      <c r="D46" s="221">
        <f t="shared" si="51"/>
        <v>23760</v>
      </c>
      <c r="E46" s="221">
        <f t="shared" si="52"/>
        <v>26700</v>
      </c>
      <c r="F46" s="221">
        <f t="shared" si="53"/>
        <v>29640</v>
      </c>
      <c r="G46" s="221">
        <f t="shared" si="54"/>
        <v>32040</v>
      </c>
      <c r="H46" s="222">
        <f t="shared" si="55"/>
        <v>34440</v>
      </c>
      <c r="I46" s="217">
        <f>'MTSP Income Limits'!G44</f>
        <v>17300</v>
      </c>
      <c r="J46" s="218">
        <f>'MTSP Income Limits'!H44</f>
        <v>19800</v>
      </c>
      <c r="K46" s="218">
        <f>'MTSP Income Limits'!I44</f>
        <v>22250</v>
      </c>
      <c r="L46" s="218">
        <f>'MTSP Income Limits'!J44</f>
        <v>24700</v>
      </c>
      <c r="M46" s="218">
        <f>'MTSP Income Limits'!K44</f>
        <v>26700</v>
      </c>
      <c r="N46" s="219">
        <f>'MTSP Income Limits'!L44</f>
        <v>28700</v>
      </c>
      <c r="O46" s="220">
        <f t="shared" si="56"/>
        <v>13840</v>
      </c>
      <c r="P46" s="221">
        <f t="shared" si="57"/>
        <v>15840</v>
      </c>
      <c r="Q46" s="221">
        <f t="shared" si="58"/>
        <v>17800</v>
      </c>
      <c r="R46" s="221">
        <f t="shared" si="59"/>
        <v>19760</v>
      </c>
      <c r="S46" s="221">
        <f t="shared" si="60"/>
        <v>21360</v>
      </c>
      <c r="T46" s="222">
        <f t="shared" si="61"/>
        <v>22960</v>
      </c>
      <c r="U46" s="223">
        <f t="shared" si="62"/>
        <v>10380</v>
      </c>
      <c r="V46" s="224">
        <f t="shared" si="63"/>
        <v>11880</v>
      </c>
      <c r="W46" s="224">
        <f t="shared" si="64"/>
        <v>13350</v>
      </c>
      <c r="X46" s="224">
        <f t="shared" si="65"/>
        <v>14820</v>
      </c>
      <c r="Y46" s="224">
        <f t="shared" si="66"/>
        <v>16020</v>
      </c>
      <c r="Z46" s="224">
        <f t="shared" si="67"/>
        <v>17220</v>
      </c>
      <c r="AA46" s="220">
        <f t="shared" si="68"/>
        <v>518</v>
      </c>
      <c r="AB46" s="221">
        <f t="shared" si="69"/>
        <v>555</v>
      </c>
      <c r="AC46" s="221">
        <f t="shared" si="70"/>
        <v>667</v>
      </c>
      <c r="AD46" s="221">
        <f t="shared" si="71"/>
        <v>770</v>
      </c>
      <c r="AE46" s="222">
        <f t="shared" si="72"/>
        <v>860</v>
      </c>
      <c r="AF46" s="223">
        <f t="shared" si="73"/>
        <v>432</v>
      </c>
      <c r="AG46" s="224">
        <f t="shared" si="74"/>
        <v>463</v>
      </c>
      <c r="AH46" s="224">
        <f t="shared" si="75"/>
        <v>556</v>
      </c>
      <c r="AI46" s="224">
        <f t="shared" si="76"/>
        <v>642</v>
      </c>
      <c r="AJ46" s="225">
        <f t="shared" si="77"/>
        <v>717</v>
      </c>
      <c r="AK46" s="220">
        <f t="shared" si="78"/>
        <v>345</v>
      </c>
      <c r="AL46" s="221">
        <f t="shared" si="79"/>
        <v>370</v>
      </c>
      <c r="AM46" s="221">
        <f t="shared" si="80"/>
        <v>444</v>
      </c>
      <c r="AN46" s="221">
        <f t="shared" si="81"/>
        <v>513</v>
      </c>
      <c r="AO46" s="222">
        <f t="shared" si="82"/>
        <v>573</v>
      </c>
      <c r="AP46" s="223">
        <f t="shared" si="83"/>
        <v>259</v>
      </c>
      <c r="AQ46" s="224">
        <f t="shared" si="84"/>
        <v>277</v>
      </c>
      <c r="AR46" s="224">
        <f t="shared" si="85"/>
        <v>333</v>
      </c>
      <c r="AS46" s="224">
        <f t="shared" si="86"/>
        <v>385</v>
      </c>
      <c r="AT46" s="225">
        <f t="shared" si="87"/>
        <v>430</v>
      </c>
    </row>
    <row r="47" spans="1:46" x14ac:dyDescent="0.25">
      <c r="A47" s="11"/>
      <c r="B47" s="11" t="s">
        <v>81</v>
      </c>
      <c r="C47" s="220">
        <f t="shared" si="50"/>
        <v>25080</v>
      </c>
      <c r="D47" s="221">
        <f t="shared" si="51"/>
        <v>28680</v>
      </c>
      <c r="E47" s="221">
        <f t="shared" si="52"/>
        <v>32280</v>
      </c>
      <c r="F47" s="221">
        <f t="shared" si="53"/>
        <v>35820</v>
      </c>
      <c r="G47" s="221">
        <f t="shared" si="54"/>
        <v>38700</v>
      </c>
      <c r="H47" s="222">
        <f t="shared" si="55"/>
        <v>41580</v>
      </c>
      <c r="I47" s="217">
        <f>'MTSP Income Limits'!G45</f>
        <v>20900</v>
      </c>
      <c r="J47" s="218">
        <f>'MTSP Income Limits'!H45</f>
        <v>23900</v>
      </c>
      <c r="K47" s="218">
        <f>'MTSP Income Limits'!I45</f>
        <v>26900</v>
      </c>
      <c r="L47" s="218">
        <f>'MTSP Income Limits'!J45</f>
        <v>29850</v>
      </c>
      <c r="M47" s="218">
        <f>'MTSP Income Limits'!K45</f>
        <v>32250</v>
      </c>
      <c r="N47" s="219">
        <f>'MTSP Income Limits'!L45</f>
        <v>34650</v>
      </c>
      <c r="O47" s="220">
        <f t="shared" si="56"/>
        <v>16720</v>
      </c>
      <c r="P47" s="221">
        <f t="shared" si="57"/>
        <v>19120</v>
      </c>
      <c r="Q47" s="221">
        <f t="shared" si="58"/>
        <v>21520</v>
      </c>
      <c r="R47" s="221">
        <f t="shared" si="59"/>
        <v>23880</v>
      </c>
      <c r="S47" s="221">
        <f t="shared" si="60"/>
        <v>25800</v>
      </c>
      <c r="T47" s="222">
        <f t="shared" si="61"/>
        <v>27720</v>
      </c>
      <c r="U47" s="223">
        <f t="shared" si="62"/>
        <v>12540</v>
      </c>
      <c r="V47" s="224">
        <f t="shared" si="63"/>
        <v>14340</v>
      </c>
      <c r="W47" s="224">
        <f t="shared" si="64"/>
        <v>16140</v>
      </c>
      <c r="X47" s="224">
        <f t="shared" si="65"/>
        <v>17910</v>
      </c>
      <c r="Y47" s="224">
        <f t="shared" si="66"/>
        <v>19350</v>
      </c>
      <c r="Z47" s="224">
        <f t="shared" si="67"/>
        <v>20790</v>
      </c>
      <c r="AA47" s="220">
        <f t="shared" si="68"/>
        <v>626</v>
      </c>
      <c r="AB47" s="221">
        <f t="shared" si="69"/>
        <v>672</v>
      </c>
      <c r="AC47" s="221">
        <f t="shared" si="70"/>
        <v>806</v>
      </c>
      <c r="AD47" s="221">
        <f t="shared" si="71"/>
        <v>931</v>
      </c>
      <c r="AE47" s="222">
        <f t="shared" si="72"/>
        <v>1039</v>
      </c>
      <c r="AF47" s="223">
        <f t="shared" si="73"/>
        <v>522</v>
      </c>
      <c r="AG47" s="224">
        <f t="shared" si="74"/>
        <v>560</v>
      </c>
      <c r="AH47" s="224">
        <f t="shared" si="75"/>
        <v>672</v>
      </c>
      <c r="AI47" s="224">
        <f t="shared" si="76"/>
        <v>776</v>
      </c>
      <c r="AJ47" s="225">
        <f t="shared" si="77"/>
        <v>866</v>
      </c>
      <c r="AK47" s="220">
        <f t="shared" si="78"/>
        <v>417</v>
      </c>
      <c r="AL47" s="221">
        <f t="shared" si="79"/>
        <v>448</v>
      </c>
      <c r="AM47" s="221">
        <f t="shared" si="80"/>
        <v>537</v>
      </c>
      <c r="AN47" s="221">
        <f t="shared" si="81"/>
        <v>620</v>
      </c>
      <c r="AO47" s="222">
        <f t="shared" si="82"/>
        <v>692</v>
      </c>
      <c r="AP47" s="223">
        <f t="shared" si="83"/>
        <v>313</v>
      </c>
      <c r="AQ47" s="224">
        <f t="shared" si="84"/>
        <v>336</v>
      </c>
      <c r="AR47" s="224">
        <f t="shared" si="85"/>
        <v>403</v>
      </c>
      <c r="AS47" s="224">
        <f t="shared" si="86"/>
        <v>465</v>
      </c>
      <c r="AT47" s="225">
        <f t="shared" si="87"/>
        <v>519</v>
      </c>
    </row>
    <row r="48" spans="1:46" x14ac:dyDescent="0.25">
      <c r="A48" s="11"/>
      <c r="B48" s="11" t="s">
        <v>82</v>
      </c>
      <c r="C48" s="220">
        <f t="shared" si="50"/>
        <v>22260</v>
      </c>
      <c r="D48" s="221">
        <f t="shared" si="51"/>
        <v>25440</v>
      </c>
      <c r="E48" s="221">
        <f t="shared" si="52"/>
        <v>28620</v>
      </c>
      <c r="F48" s="221">
        <f t="shared" si="53"/>
        <v>31740</v>
      </c>
      <c r="G48" s="221">
        <f t="shared" si="54"/>
        <v>34320</v>
      </c>
      <c r="H48" s="222">
        <f t="shared" si="55"/>
        <v>36840</v>
      </c>
      <c r="I48" s="217">
        <f>'MTSP Income Limits'!G46</f>
        <v>18550</v>
      </c>
      <c r="J48" s="218">
        <f>'MTSP Income Limits'!H46</f>
        <v>21200</v>
      </c>
      <c r="K48" s="218">
        <f>'MTSP Income Limits'!I46</f>
        <v>23850</v>
      </c>
      <c r="L48" s="218">
        <f>'MTSP Income Limits'!J46</f>
        <v>26450</v>
      </c>
      <c r="M48" s="218">
        <f>'MTSP Income Limits'!K46</f>
        <v>28600</v>
      </c>
      <c r="N48" s="219">
        <f>'MTSP Income Limits'!L46</f>
        <v>30700</v>
      </c>
      <c r="O48" s="220">
        <f t="shared" si="56"/>
        <v>14840</v>
      </c>
      <c r="P48" s="221">
        <f t="shared" si="57"/>
        <v>16960</v>
      </c>
      <c r="Q48" s="221">
        <f t="shared" si="58"/>
        <v>19080</v>
      </c>
      <c r="R48" s="221">
        <f t="shared" si="59"/>
        <v>21160</v>
      </c>
      <c r="S48" s="221">
        <f t="shared" si="60"/>
        <v>22880</v>
      </c>
      <c r="T48" s="222">
        <f t="shared" si="61"/>
        <v>24560</v>
      </c>
      <c r="U48" s="223">
        <f t="shared" si="62"/>
        <v>11130</v>
      </c>
      <c r="V48" s="224">
        <f t="shared" si="63"/>
        <v>12720</v>
      </c>
      <c r="W48" s="224">
        <f t="shared" si="64"/>
        <v>14310</v>
      </c>
      <c r="X48" s="224">
        <f t="shared" si="65"/>
        <v>15870</v>
      </c>
      <c r="Y48" s="224">
        <f t="shared" si="66"/>
        <v>17160</v>
      </c>
      <c r="Z48" s="224">
        <f t="shared" si="67"/>
        <v>18420</v>
      </c>
      <c r="AA48" s="220">
        <f t="shared" si="68"/>
        <v>555</v>
      </c>
      <c r="AB48" s="221">
        <f t="shared" si="69"/>
        <v>595</v>
      </c>
      <c r="AC48" s="221">
        <f t="shared" si="70"/>
        <v>715</v>
      </c>
      <c r="AD48" s="221">
        <f t="shared" si="71"/>
        <v>825</v>
      </c>
      <c r="AE48" s="222">
        <f t="shared" si="72"/>
        <v>920</v>
      </c>
      <c r="AF48" s="223">
        <f t="shared" si="73"/>
        <v>463</v>
      </c>
      <c r="AG48" s="224">
        <f t="shared" si="74"/>
        <v>496</v>
      </c>
      <c r="AH48" s="224">
        <f t="shared" si="75"/>
        <v>596</v>
      </c>
      <c r="AI48" s="224">
        <f t="shared" si="76"/>
        <v>688</v>
      </c>
      <c r="AJ48" s="225">
        <f t="shared" si="77"/>
        <v>767</v>
      </c>
      <c r="AK48" s="220">
        <f t="shared" si="78"/>
        <v>370</v>
      </c>
      <c r="AL48" s="221">
        <f t="shared" si="79"/>
        <v>396</v>
      </c>
      <c r="AM48" s="221">
        <f t="shared" si="80"/>
        <v>476</v>
      </c>
      <c r="AN48" s="221">
        <f t="shared" si="81"/>
        <v>550</v>
      </c>
      <c r="AO48" s="222">
        <f t="shared" si="82"/>
        <v>613</v>
      </c>
      <c r="AP48" s="223">
        <f t="shared" si="83"/>
        <v>277</v>
      </c>
      <c r="AQ48" s="224">
        <f t="shared" si="84"/>
        <v>297</v>
      </c>
      <c r="AR48" s="224">
        <f t="shared" si="85"/>
        <v>357</v>
      </c>
      <c r="AS48" s="224">
        <f t="shared" si="86"/>
        <v>412</v>
      </c>
      <c r="AT48" s="225">
        <f t="shared" si="87"/>
        <v>460</v>
      </c>
    </row>
    <row r="49" spans="1:46" x14ac:dyDescent="0.25">
      <c r="A49" s="11"/>
      <c r="B49" s="11" t="s">
        <v>83</v>
      </c>
      <c r="C49" s="220">
        <f t="shared" si="50"/>
        <v>23160</v>
      </c>
      <c r="D49" s="221">
        <f t="shared" si="51"/>
        <v>26460</v>
      </c>
      <c r="E49" s="221">
        <f t="shared" si="52"/>
        <v>29760</v>
      </c>
      <c r="F49" s="221">
        <f t="shared" si="53"/>
        <v>33060</v>
      </c>
      <c r="G49" s="221">
        <f t="shared" si="54"/>
        <v>35760</v>
      </c>
      <c r="H49" s="222">
        <f t="shared" si="55"/>
        <v>38400</v>
      </c>
      <c r="I49" s="217">
        <f>'MTSP Income Limits'!G47</f>
        <v>19300</v>
      </c>
      <c r="J49" s="218">
        <f>'MTSP Income Limits'!H47</f>
        <v>22050</v>
      </c>
      <c r="K49" s="218">
        <f>'MTSP Income Limits'!I47</f>
        <v>24800</v>
      </c>
      <c r="L49" s="218">
        <f>'MTSP Income Limits'!J47</f>
        <v>27550</v>
      </c>
      <c r="M49" s="218">
        <f>'MTSP Income Limits'!K47</f>
        <v>29800</v>
      </c>
      <c r="N49" s="219">
        <f>'MTSP Income Limits'!L47</f>
        <v>32000</v>
      </c>
      <c r="O49" s="220">
        <f t="shared" si="56"/>
        <v>15440</v>
      </c>
      <c r="P49" s="221">
        <f t="shared" si="57"/>
        <v>17640</v>
      </c>
      <c r="Q49" s="221">
        <f t="shared" si="58"/>
        <v>19840</v>
      </c>
      <c r="R49" s="221">
        <f t="shared" si="59"/>
        <v>22040</v>
      </c>
      <c r="S49" s="221">
        <f t="shared" si="60"/>
        <v>23840</v>
      </c>
      <c r="T49" s="222">
        <f t="shared" si="61"/>
        <v>25600</v>
      </c>
      <c r="U49" s="223">
        <f t="shared" si="62"/>
        <v>11580</v>
      </c>
      <c r="V49" s="224">
        <f t="shared" si="63"/>
        <v>13230</v>
      </c>
      <c r="W49" s="224">
        <f t="shared" si="64"/>
        <v>14880</v>
      </c>
      <c r="X49" s="224">
        <f t="shared" si="65"/>
        <v>16530</v>
      </c>
      <c r="Y49" s="224">
        <f t="shared" si="66"/>
        <v>17880</v>
      </c>
      <c r="Z49" s="224">
        <f t="shared" si="67"/>
        <v>19200</v>
      </c>
      <c r="AA49" s="220">
        <f t="shared" si="68"/>
        <v>578</v>
      </c>
      <c r="AB49" s="221">
        <f t="shared" si="69"/>
        <v>619</v>
      </c>
      <c r="AC49" s="221">
        <f t="shared" si="70"/>
        <v>744</v>
      </c>
      <c r="AD49" s="221">
        <f t="shared" si="71"/>
        <v>859</v>
      </c>
      <c r="AE49" s="222">
        <f t="shared" si="72"/>
        <v>960</v>
      </c>
      <c r="AF49" s="223">
        <f t="shared" si="73"/>
        <v>482</v>
      </c>
      <c r="AG49" s="224">
        <f t="shared" si="74"/>
        <v>516</v>
      </c>
      <c r="AH49" s="224">
        <f t="shared" si="75"/>
        <v>620</v>
      </c>
      <c r="AI49" s="224">
        <f t="shared" si="76"/>
        <v>716</v>
      </c>
      <c r="AJ49" s="225">
        <f t="shared" si="77"/>
        <v>800</v>
      </c>
      <c r="AK49" s="220">
        <f t="shared" si="78"/>
        <v>385</v>
      </c>
      <c r="AL49" s="221">
        <f t="shared" si="79"/>
        <v>412</v>
      </c>
      <c r="AM49" s="221">
        <f t="shared" si="80"/>
        <v>496</v>
      </c>
      <c r="AN49" s="221">
        <f t="shared" si="81"/>
        <v>572</v>
      </c>
      <c r="AO49" s="222">
        <f t="shared" si="82"/>
        <v>640</v>
      </c>
      <c r="AP49" s="223">
        <f t="shared" si="83"/>
        <v>289</v>
      </c>
      <c r="AQ49" s="224">
        <f t="shared" si="84"/>
        <v>309</v>
      </c>
      <c r="AR49" s="224">
        <f t="shared" si="85"/>
        <v>372</v>
      </c>
      <c r="AS49" s="224">
        <f t="shared" si="86"/>
        <v>429</v>
      </c>
      <c r="AT49" s="225">
        <f t="shared" si="87"/>
        <v>480</v>
      </c>
    </row>
    <row r="50" spans="1:46" x14ac:dyDescent="0.25">
      <c r="A50" s="11"/>
      <c r="B50" s="11" t="s">
        <v>84</v>
      </c>
      <c r="C50" s="220">
        <f t="shared" si="50"/>
        <v>20760</v>
      </c>
      <c r="D50" s="221">
        <f t="shared" si="51"/>
        <v>23760</v>
      </c>
      <c r="E50" s="221">
        <f t="shared" si="52"/>
        <v>26700</v>
      </c>
      <c r="F50" s="221">
        <f t="shared" si="53"/>
        <v>29640</v>
      </c>
      <c r="G50" s="221">
        <f t="shared" si="54"/>
        <v>32040</v>
      </c>
      <c r="H50" s="222">
        <f t="shared" si="55"/>
        <v>34440</v>
      </c>
      <c r="I50" s="217">
        <f>'MTSP Income Limits'!G48</f>
        <v>17300</v>
      </c>
      <c r="J50" s="218">
        <f>'MTSP Income Limits'!H48</f>
        <v>19800</v>
      </c>
      <c r="K50" s="218">
        <f>'MTSP Income Limits'!I48</f>
        <v>22250</v>
      </c>
      <c r="L50" s="218">
        <f>'MTSP Income Limits'!J48</f>
        <v>24700</v>
      </c>
      <c r="M50" s="218">
        <f>'MTSP Income Limits'!K48</f>
        <v>26700</v>
      </c>
      <c r="N50" s="219">
        <f>'MTSP Income Limits'!L48</f>
        <v>28700</v>
      </c>
      <c r="O50" s="220">
        <f t="shared" si="56"/>
        <v>13840</v>
      </c>
      <c r="P50" s="221">
        <f t="shared" si="57"/>
        <v>15840</v>
      </c>
      <c r="Q50" s="221">
        <f t="shared" si="58"/>
        <v>17800</v>
      </c>
      <c r="R50" s="221">
        <f t="shared" si="59"/>
        <v>19760</v>
      </c>
      <c r="S50" s="221">
        <f t="shared" si="60"/>
        <v>21360</v>
      </c>
      <c r="T50" s="222">
        <f t="shared" si="61"/>
        <v>22960</v>
      </c>
      <c r="U50" s="223">
        <f t="shared" si="62"/>
        <v>10380</v>
      </c>
      <c r="V50" s="224">
        <f t="shared" si="63"/>
        <v>11880</v>
      </c>
      <c r="W50" s="224">
        <f t="shared" si="64"/>
        <v>13350</v>
      </c>
      <c r="X50" s="224">
        <f t="shared" si="65"/>
        <v>14820</v>
      </c>
      <c r="Y50" s="224">
        <f t="shared" si="66"/>
        <v>16020</v>
      </c>
      <c r="Z50" s="224">
        <f t="shared" si="67"/>
        <v>17220</v>
      </c>
      <c r="AA50" s="220">
        <f t="shared" si="68"/>
        <v>518</v>
      </c>
      <c r="AB50" s="221">
        <f t="shared" si="69"/>
        <v>555</v>
      </c>
      <c r="AC50" s="221">
        <f t="shared" si="70"/>
        <v>667</v>
      </c>
      <c r="AD50" s="221">
        <f t="shared" si="71"/>
        <v>770</v>
      </c>
      <c r="AE50" s="222">
        <f t="shared" si="72"/>
        <v>860</v>
      </c>
      <c r="AF50" s="223">
        <f t="shared" si="73"/>
        <v>432</v>
      </c>
      <c r="AG50" s="224">
        <f t="shared" si="74"/>
        <v>463</v>
      </c>
      <c r="AH50" s="224">
        <f t="shared" si="75"/>
        <v>556</v>
      </c>
      <c r="AI50" s="224">
        <f t="shared" si="76"/>
        <v>642</v>
      </c>
      <c r="AJ50" s="225">
        <f t="shared" si="77"/>
        <v>717</v>
      </c>
      <c r="AK50" s="220">
        <f t="shared" si="78"/>
        <v>345</v>
      </c>
      <c r="AL50" s="221">
        <f t="shared" si="79"/>
        <v>370</v>
      </c>
      <c r="AM50" s="221">
        <f t="shared" si="80"/>
        <v>444</v>
      </c>
      <c r="AN50" s="221">
        <f t="shared" si="81"/>
        <v>513</v>
      </c>
      <c r="AO50" s="222">
        <f t="shared" si="82"/>
        <v>573</v>
      </c>
      <c r="AP50" s="223">
        <f t="shared" si="83"/>
        <v>259</v>
      </c>
      <c r="AQ50" s="224">
        <f t="shared" si="84"/>
        <v>277</v>
      </c>
      <c r="AR50" s="224">
        <f t="shared" si="85"/>
        <v>333</v>
      </c>
      <c r="AS50" s="224">
        <f t="shared" si="86"/>
        <v>385</v>
      </c>
      <c r="AT50" s="225">
        <f t="shared" si="87"/>
        <v>430</v>
      </c>
    </row>
    <row r="51" spans="1:46" x14ac:dyDescent="0.25">
      <c r="A51" s="11"/>
      <c r="B51" s="11" t="s">
        <v>85</v>
      </c>
      <c r="C51" s="220">
        <f t="shared" si="50"/>
        <v>21480</v>
      </c>
      <c r="D51" s="221">
        <f t="shared" si="51"/>
        <v>24540</v>
      </c>
      <c r="E51" s="221">
        <f t="shared" si="52"/>
        <v>27600</v>
      </c>
      <c r="F51" s="221">
        <f t="shared" si="53"/>
        <v>30660</v>
      </c>
      <c r="G51" s="221">
        <f t="shared" si="54"/>
        <v>33120</v>
      </c>
      <c r="H51" s="222">
        <f t="shared" si="55"/>
        <v>35580</v>
      </c>
      <c r="I51" s="217">
        <f>'MTSP Income Limits'!G49</f>
        <v>17900</v>
      </c>
      <c r="J51" s="218">
        <f>'MTSP Income Limits'!H49</f>
        <v>20450</v>
      </c>
      <c r="K51" s="218">
        <f>'MTSP Income Limits'!I49</f>
        <v>23000</v>
      </c>
      <c r="L51" s="218">
        <f>'MTSP Income Limits'!J49</f>
        <v>25550</v>
      </c>
      <c r="M51" s="218">
        <f>'MTSP Income Limits'!K49</f>
        <v>27600</v>
      </c>
      <c r="N51" s="219">
        <f>'MTSP Income Limits'!L49</f>
        <v>29650</v>
      </c>
      <c r="O51" s="220">
        <f t="shared" si="56"/>
        <v>14320</v>
      </c>
      <c r="P51" s="221">
        <f t="shared" si="57"/>
        <v>16360</v>
      </c>
      <c r="Q51" s="221">
        <f t="shared" si="58"/>
        <v>18400</v>
      </c>
      <c r="R51" s="221">
        <f t="shared" si="59"/>
        <v>20440</v>
      </c>
      <c r="S51" s="221">
        <f t="shared" si="60"/>
        <v>22080</v>
      </c>
      <c r="T51" s="222">
        <f t="shared" si="61"/>
        <v>23720</v>
      </c>
      <c r="U51" s="223">
        <f t="shared" si="62"/>
        <v>10740</v>
      </c>
      <c r="V51" s="224">
        <f t="shared" si="63"/>
        <v>12270</v>
      </c>
      <c r="W51" s="224">
        <f t="shared" si="64"/>
        <v>13800</v>
      </c>
      <c r="X51" s="224">
        <f t="shared" si="65"/>
        <v>15330</v>
      </c>
      <c r="Y51" s="224">
        <f t="shared" si="66"/>
        <v>16560</v>
      </c>
      <c r="Z51" s="224">
        <f t="shared" si="67"/>
        <v>17790</v>
      </c>
      <c r="AA51" s="220">
        <f t="shared" si="68"/>
        <v>536</v>
      </c>
      <c r="AB51" s="221">
        <f t="shared" si="69"/>
        <v>574</v>
      </c>
      <c r="AC51" s="221">
        <f t="shared" si="70"/>
        <v>690</v>
      </c>
      <c r="AD51" s="221">
        <f t="shared" si="71"/>
        <v>796</v>
      </c>
      <c r="AE51" s="222">
        <f t="shared" si="72"/>
        <v>889</v>
      </c>
      <c r="AF51" s="223">
        <f t="shared" si="73"/>
        <v>447</v>
      </c>
      <c r="AG51" s="224">
        <f t="shared" si="74"/>
        <v>479</v>
      </c>
      <c r="AH51" s="224">
        <f t="shared" si="75"/>
        <v>575</v>
      </c>
      <c r="AI51" s="224">
        <f t="shared" si="76"/>
        <v>664</v>
      </c>
      <c r="AJ51" s="225">
        <f t="shared" si="77"/>
        <v>741</v>
      </c>
      <c r="AK51" s="220">
        <f t="shared" si="78"/>
        <v>357</v>
      </c>
      <c r="AL51" s="221">
        <f t="shared" si="79"/>
        <v>383</v>
      </c>
      <c r="AM51" s="221">
        <f t="shared" si="80"/>
        <v>460</v>
      </c>
      <c r="AN51" s="221">
        <f t="shared" si="81"/>
        <v>531</v>
      </c>
      <c r="AO51" s="222">
        <f t="shared" si="82"/>
        <v>592</v>
      </c>
      <c r="AP51" s="223">
        <f t="shared" si="83"/>
        <v>268</v>
      </c>
      <c r="AQ51" s="224">
        <f t="shared" si="84"/>
        <v>287</v>
      </c>
      <c r="AR51" s="224">
        <f t="shared" si="85"/>
        <v>345</v>
      </c>
      <c r="AS51" s="224">
        <f t="shared" si="86"/>
        <v>398</v>
      </c>
      <c r="AT51" s="225">
        <f t="shared" si="87"/>
        <v>444</v>
      </c>
    </row>
    <row r="52" spans="1:46" x14ac:dyDescent="0.25">
      <c r="A52" s="11"/>
      <c r="B52" s="11" t="s">
        <v>86</v>
      </c>
      <c r="C52" s="220">
        <f t="shared" si="50"/>
        <v>22920</v>
      </c>
      <c r="D52" s="221">
        <f t="shared" si="51"/>
        <v>26160</v>
      </c>
      <c r="E52" s="221">
        <f t="shared" si="52"/>
        <v>29460</v>
      </c>
      <c r="F52" s="221">
        <f t="shared" si="53"/>
        <v>32700</v>
      </c>
      <c r="G52" s="221">
        <f t="shared" si="54"/>
        <v>35340</v>
      </c>
      <c r="H52" s="222">
        <f t="shared" si="55"/>
        <v>37980</v>
      </c>
      <c r="I52" s="217">
        <f>'MTSP Income Limits'!G50</f>
        <v>19100</v>
      </c>
      <c r="J52" s="218">
        <f>'MTSP Income Limits'!H50</f>
        <v>21800</v>
      </c>
      <c r="K52" s="218">
        <f>'MTSP Income Limits'!I50</f>
        <v>24550</v>
      </c>
      <c r="L52" s="218">
        <f>'MTSP Income Limits'!J50</f>
        <v>27250</v>
      </c>
      <c r="M52" s="218">
        <f>'MTSP Income Limits'!K50</f>
        <v>29450</v>
      </c>
      <c r="N52" s="219">
        <f>'MTSP Income Limits'!L50</f>
        <v>31650</v>
      </c>
      <c r="O52" s="220">
        <f t="shared" si="56"/>
        <v>15280</v>
      </c>
      <c r="P52" s="221">
        <f t="shared" si="57"/>
        <v>17440</v>
      </c>
      <c r="Q52" s="221">
        <f t="shared" si="58"/>
        <v>19640</v>
      </c>
      <c r="R52" s="221">
        <f t="shared" si="59"/>
        <v>21800</v>
      </c>
      <c r="S52" s="221">
        <f t="shared" si="60"/>
        <v>23560</v>
      </c>
      <c r="T52" s="222">
        <f t="shared" si="61"/>
        <v>25320</v>
      </c>
      <c r="U52" s="223">
        <f t="shared" si="62"/>
        <v>11460</v>
      </c>
      <c r="V52" s="224">
        <f t="shared" si="63"/>
        <v>13080</v>
      </c>
      <c r="W52" s="224">
        <f t="shared" si="64"/>
        <v>14730</v>
      </c>
      <c r="X52" s="224">
        <f t="shared" si="65"/>
        <v>16350</v>
      </c>
      <c r="Y52" s="224">
        <f t="shared" si="66"/>
        <v>17670</v>
      </c>
      <c r="Z52" s="224">
        <f t="shared" si="67"/>
        <v>18990</v>
      </c>
      <c r="AA52" s="220">
        <f t="shared" si="68"/>
        <v>572</v>
      </c>
      <c r="AB52" s="221">
        <f t="shared" si="69"/>
        <v>613</v>
      </c>
      <c r="AC52" s="221">
        <f t="shared" si="70"/>
        <v>735</v>
      </c>
      <c r="AD52" s="221">
        <f t="shared" si="71"/>
        <v>849</v>
      </c>
      <c r="AE52" s="222">
        <f t="shared" si="72"/>
        <v>949</v>
      </c>
      <c r="AF52" s="223">
        <f t="shared" si="73"/>
        <v>477</v>
      </c>
      <c r="AG52" s="224">
        <f t="shared" si="74"/>
        <v>511</v>
      </c>
      <c r="AH52" s="224">
        <f t="shared" si="75"/>
        <v>613</v>
      </c>
      <c r="AI52" s="224">
        <f t="shared" si="76"/>
        <v>708</v>
      </c>
      <c r="AJ52" s="225">
        <f t="shared" si="77"/>
        <v>791</v>
      </c>
      <c r="AK52" s="220">
        <f t="shared" si="78"/>
        <v>381</v>
      </c>
      <c r="AL52" s="221">
        <f t="shared" si="79"/>
        <v>408</v>
      </c>
      <c r="AM52" s="221">
        <f t="shared" si="80"/>
        <v>490</v>
      </c>
      <c r="AN52" s="221">
        <f t="shared" si="81"/>
        <v>566</v>
      </c>
      <c r="AO52" s="222">
        <f t="shared" si="82"/>
        <v>632</v>
      </c>
      <c r="AP52" s="223">
        <f t="shared" si="83"/>
        <v>286</v>
      </c>
      <c r="AQ52" s="224">
        <f t="shared" si="84"/>
        <v>306</v>
      </c>
      <c r="AR52" s="224">
        <f t="shared" si="85"/>
        <v>367</v>
      </c>
      <c r="AS52" s="224">
        <f t="shared" si="86"/>
        <v>424</v>
      </c>
      <c r="AT52" s="225">
        <f t="shared" si="87"/>
        <v>474</v>
      </c>
    </row>
    <row r="53" spans="1:46" x14ac:dyDescent="0.25">
      <c r="A53" s="11"/>
      <c r="B53" s="11" t="s">
        <v>87</v>
      </c>
      <c r="C53" s="220">
        <f t="shared" si="50"/>
        <v>23520</v>
      </c>
      <c r="D53" s="221">
        <f t="shared" si="51"/>
        <v>26880</v>
      </c>
      <c r="E53" s="221">
        <f t="shared" si="52"/>
        <v>30240</v>
      </c>
      <c r="F53" s="221">
        <f t="shared" si="53"/>
        <v>33600</v>
      </c>
      <c r="G53" s="221">
        <f t="shared" si="54"/>
        <v>36300</v>
      </c>
      <c r="H53" s="222">
        <f t="shared" si="55"/>
        <v>39000</v>
      </c>
      <c r="I53" s="217">
        <f>'MTSP Income Limits'!G51</f>
        <v>19600</v>
      </c>
      <c r="J53" s="218">
        <f>'MTSP Income Limits'!H51</f>
        <v>22400</v>
      </c>
      <c r="K53" s="218">
        <f>'MTSP Income Limits'!I51</f>
        <v>25200</v>
      </c>
      <c r="L53" s="218">
        <f>'MTSP Income Limits'!J51</f>
        <v>28000</v>
      </c>
      <c r="M53" s="218">
        <f>'MTSP Income Limits'!K51</f>
        <v>30250</v>
      </c>
      <c r="N53" s="219">
        <f>'MTSP Income Limits'!L51</f>
        <v>32500</v>
      </c>
      <c r="O53" s="220">
        <f t="shared" si="56"/>
        <v>15680</v>
      </c>
      <c r="P53" s="221">
        <f t="shared" si="57"/>
        <v>17920</v>
      </c>
      <c r="Q53" s="221">
        <f t="shared" si="58"/>
        <v>20160</v>
      </c>
      <c r="R53" s="221">
        <f t="shared" si="59"/>
        <v>22400</v>
      </c>
      <c r="S53" s="221">
        <f t="shared" si="60"/>
        <v>24200</v>
      </c>
      <c r="T53" s="222">
        <f t="shared" si="61"/>
        <v>26000</v>
      </c>
      <c r="U53" s="223">
        <f t="shared" si="62"/>
        <v>11760</v>
      </c>
      <c r="V53" s="224">
        <f t="shared" si="63"/>
        <v>13440</v>
      </c>
      <c r="W53" s="224">
        <f t="shared" si="64"/>
        <v>15120</v>
      </c>
      <c r="X53" s="224">
        <f t="shared" si="65"/>
        <v>16800</v>
      </c>
      <c r="Y53" s="224">
        <f t="shared" si="66"/>
        <v>18150</v>
      </c>
      <c r="Z53" s="224">
        <f t="shared" si="67"/>
        <v>19500</v>
      </c>
      <c r="AA53" s="220">
        <f t="shared" si="68"/>
        <v>588</v>
      </c>
      <c r="AB53" s="221">
        <f t="shared" si="69"/>
        <v>630</v>
      </c>
      <c r="AC53" s="221">
        <f t="shared" si="70"/>
        <v>756</v>
      </c>
      <c r="AD53" s="221">
        <f t="shared" si="71"/>
        <v>873</v>
      </c>
      <c r="AE53" s="222">
        <f t="shared" si="72"/>
        <v>974</v>
      </c>
      <c r="AF53" s="223">
        <f t="shared" si="73"/>
        <v>490</v>
      </c>
      <c r="AG53" s="224">
        <f t="shared" si="74"/>
        <v>525</v>
      </c>
      <c r="AH53" s="224">
        <f t="shared" si="75"/>
        <v>630</v>
      </c>
      <c r="AI53" s="224">
        <f t="shared" si="76"/>
        <v>728</v>
      </c>
      <c r="AJ53" s="225">
        <f t="shared" si="77"/>
        <v>812</v>
      </c>
      <c r="AK53" s="220">
        <f t="shared" si="78"/>
        <v>392</v>
      </c>
      <c r="AL53" s="221">
        <f t="shared" si="79"/>
        <v>420</v>
      </c>
      <c r="AM53" s="221">
        <f t="shared" si="80"/>
        <v>504</v>
      </c>
      <c r="AN53" s="221">
        <f t="shared" si="81"/>
        <v>582</v>
      </c>
      <c r="AO53" s="222">
        <f t="shared" si="82"/>
        <v>649</v>
      </c>
      <c r="AP53" s="223">
        <f t="shared" si="83"/>
        <v>294</v>
      </c>
      <c r="AQ53" s="224">
        <f t="shared" si="84"/>
        <v>315</v>
      </c>
      <c r="AR53" s="224">
        <f t="shared" si="85"/>
        <v>378</v>
      </c>
      <c r="AS53" s="224">
        <f t="shared" si="86"/>
        <v>436</v>
      </c>
      <c r="AT53" s="225">
        <f t="shared" si="87"/>
        <v>487</v>
      </c>
    </row>
    <row r="54" spans="1:46" x14ac:dyDescent="0.25">
      <c r="A54" s="11"/>
      <c r="B54" s="11" t="s">
        <v>88</v>
      </c>
      <c r="C54" s="220">
        <f t="shared" si="50"/>
        <v>20760</v>
      </c>
      <c r="D54" s="221">
        <f t="shared" si="51"/>
        <v>23760</v>
      </c>
      <c r="E54" s="221">
        <f t="shared" si="52"/>
        <v>26700</v>
      </c>
      <c r="F54" s="221">
        <f t="shared" si="53"/>
        <v>29640</v>
      </c>
      <c r="G54" s="221">
        <f t="shared" si="54"/>
        <v>32040</v>
      </c>
      <c r="H54" s="222">
        <f t="shared" si="55"/>
        <v>34440</v>
      </c>
      <c r="I54" s="217">
        <f>'MTSP Income Limits'!G52</f>
        <v>17300</v>
      </c>
      <c r="J54" s="218">
        <f>'MTSP Income Limits'!H52</f>
        <v>19800</v>
      </c>
      <c r="K54" s="218">
        <f>'MTSP Income Limits'!I52</f>
        <v>22250</v>
      </c>
      <c r="L54" s="218">
        <f>'MTSP Income Limits'!J52</f>
        <v>24700</v>
      </c>
      <c r="M54" s="218">
        <f>'MTSP Income Limits'!K52</f>
        <v>26700</v>
      </c>
      <c r="N54" s="219">
        <f>'MTSP Income Limits'!L52</f>
        <v>28700</v>
      </c>
      <c r="O54" s="220">
        <f t="shared" si="56"/>
        <v>13840</v>
      </c>
      <c r="P54" s="221">
        <f t="shared" si="57"/>
        <v>15840</v>
      </c>
      <c r="Q54" s="221">
        <f t="shared" si="58"/>
        <v>17800</v>
      </c>
      <c r="R54" s="221">
        <f t="shared" si="59"/>
        <v>19760</v>
      </c>
      <c r="S54" s="221">
        <f t="shared" si="60"/>
        <v>21360</v>
      </c>
      <c r="T54" s="222">
        <f t="shared" si="61"/>
        <v>22960</v>
      </c>
      <c r="U54" s="223">
        <f t="shared" si="62"/>
        <v>10380</v>
      </c>
      <c r="V54" s="224">
        <f t="shared" si="63"/>
        <v>11880</v>
      </c>
      <c r="W54" s="224">
        <f t="shared" si="64"/>
        <v>13350</v>
      </c>
      <c r="X54" s="224">
        <f t="shared" si="65"/>
        <v>14820</v>
      </c>
      <c r="Y54" s="224">
        <f t="shared" si="66"/>
        <v>16020</v>
      </c>
      <c r="Z54" s="224">
        <f t="shared" si="67"/>
        <v>17220</v>
      </c>
      <c r="AA54" s="220">
        <f t="shared" si="68"/>
        <v>518</v>
      </c>
      <c r="AB54" s="221">
        <f t="shared" si="69"/>
        <v>555</v>
      </c>
      <c r="AC54" s="221">
        <f t="shared" si="70"/>
        <v>667</v>
      </c>
      <c r="AD54" s="221">
        <f t="shared" si="71"/>
        <v>770</v>
      </c>
      <c r="AE54" s="222">
        <f t="shared" si="72"/>
        <v>860</v>
      </c>
      <c r="AF54" s="223">
        <f t="shared" si="73"/>
        <v>432</v>
      </c>
      <c r="AG54" s="224">
        <f t="shared" si="74"/>
        <v>463</v>
      </c>
      <c r="AH54" s="224">
        <f t="shared" si="75"/>
        <v>556</v>
      </c>
      <c r="AI54" s="224">
        <f t="shared" si="76"/>
        <v>642</v>
      </c>
      <c r="AJ54" s="225">
        <f t="shared" si="77"/>
        <v>717</v>
      </c>
      <c r="AK54" s="220">
        <f t="shared" si="78"/>
        <v>345</v>
      </c>
      <c r="AL54" s="221">
        <f t="shared" si="79"/>
        <v>370</v>
      </c>
      <c r="AM54" s="221">
        <f t="shared" si="80"/>
        <v>444</v>
      </c>
      <c r="AN54" s="221">
        <f t="shared" si="81"/>
        <v>513</v>
      </c>
      <c r="AO54" s="222">
        <f t="shared" si="82"/>
        <v>573</v>
      </c>
      <c r="AP54" s="223">
        <f t="shared" si="83"/>
        <v>259</v>
      </c>
      <c r="AQ54" s="224">
        <f t="shared" si="84"/>
        <v>277</v>
      </c>
      <c r="AR54" s="224">
        <f t="shared" si="85"/>
        <v>333</v>
      </c>
      <c r="AS54" s="224">
        <f t="shared" si="86"/>
        <v>385</v>
      </c>
      <c r="AT54" s="225">
        <f t="shared" si="87"/>
        <v>430</v>
      </c>
    </row>
    <row r="55" spans="1:46" x14ac:dyDescent="0.25">
      <c r="A55" s="11"/>
      <c r="B55" s="11" t="s">
        <v>89</v>
      </c>
      <c r="C55" s="220">
        <f t="shared" si="50"/>
        <v>22200</v>
      </c>
      <c r="D55" s="221">
        <f t="shared" si="51"/>
        <v>25380</v>
      </c>
      <c r="E55" s="221">
        <f t="shared" si="52"/>
        <v>28560</v>
      </c>
      <c r="F55" s="221">
        <f t="shared" si="53"/>
        <v>31680</v>
      </c>
      <c r="G55" s="221">
        <f t="shared" si="54"/>
        <v>34260</v>
      </c>
      <c r="H55" s="222">
        <f t="shared" si="55"/>
        <v>36780</v>
      </c>
      <c r="I55" s="217">
        <f>'MTSP Income Limits'!G53</f>
        <v>18500</v>
      </c>
      <c r="J55" s="218">
        <f>'MTSP Income Limits'!H53</f>
        <v>21150</v>
      </c>
      <c r="K55" s="218">
        <f>'MTSP Income Limits'!I53</f>
        <v>23800</v>
      </c>
      <c r="L55" s="218">
        <f>'MTSP Income Limits'!J53</f>
        <v>26400</v>
      </c>
      <c r="M55" s="218">
        <f>'MTSP Income Limits'!K53</f>
        <v>28550</v>
      </c>
      <c r="N55" s="219">
        <f>'MTSP Income Limits'!L53</f>
        <v>30650</v>
      </c>
      <c r="O55" s="220">
        <f t="shared" si="56"/>
        <v>14800</v>
      </c>
      <c r="P55" s="221">
        <f t="shared" si="57"/>
        <v>16920</v>
      </c>
      <c r="Q55" s="221">
        <f t="shared" si="58"/>
        <v>19040</v>
      </c>
      <c r="R55" s="221">
        <f t="shared" si="59"/>
        <v>21120</v>
      </c>
      <c r="S55" s="221">
        <f t="shared" si="60"/>
        <v>22840</v>
      </c>
      <c r="T55" s="222">
        <f t="shared" si="61"/>
        <v>24520</v>
      </c>
      <c r="U55" s="223">
        <f t="shared" si="62"/>
        <v>11100</v>
      </c>
      <c r="V55" s="224">
        <f t="shared" si="63"/>
        <v>12690</v>
      </c>
      <c r="W55" s="224">
        <f t="shared" si="64"/>
        <v>14280</v>
      </c>
      <c r="X55" s="224">
        <f t="shared" si="65"/>
        <v>15840</v>
      </c>
      <c r="Y55" s="224">
        <f t="shared" si="66"/>
        <v>17130</v>
      </c>
      <c r="Z55" s="224">
        <f t="shared" si="67"/>
        <v>18390</v>
      </c>
      <c r="AA55" s="220">
        <f t="shared" si="68"/>
        <v>554</v>
      </c>
      <c r="AB55" s="221">
        <f t="shared" si="69"/>
        <v>594</v>
      </c>
      <c r="AC55" s="221">
        <f t="shared" si="70"/>
        <v>714</v>
      </c>
      <c r="AD55" s="221">
        <f t="shared" si="71"/>
        <v>823</v>
      </c>
      <c r="AE55" s="222">
        <f t="shared" si="72"/>
        <v>919</v>
      </c>
      <c r="AF55" s="223">
        <f t="shared" si="73"/>
        <v>462</v>
      </c>
      <c r="AG55" s="224">
        <f t="shared" si="74"/>
        <v>495</v>
      </c>
      <c r="AH55" s="224">
        <f t="shared" si="75"/>
        <v>595</v>
      </c>
      <c r="AI55" s="224">
        <f t="shared" si="76"/>
        <v>686</v>
      </c>
      <c r="AJ55" s="225">
        <f t="shared" si="77"/>
        <v>766</v>
      </c>
      <c r="AK55" s="220">
        <f t="shared" si="78"/>
        <v>369</v>
      </c>
      <c r="AL55" s="221">
        <f t="shared" si="79"/>
        <v>396</v>
      </c>
      <c r="AM55" s="221">
        <f t="shared" si="80"/>
        <v>476</v>
      </c>
      <c r="AN55" s="221">
        <f t="shared" si="81"/>
        <v>548</v>
      </c>
      <c r="AO55" s="222">
        <f t="shared" si="82"/>
        <v>612</v>
      </c>
      <c r="AP55" s="223">
        <f t="shared" si="83"/>
        <v>277</v>
      </c>
      <c r="AQ55" s="224">
        <f t="shared" si="84"/>
        <v>297</v>
      </c>
      <c r="AR55" s="224">
        <f t="shared" si="85"/>
        <v>357</v>
      </c>
      <c r="AS55" s="224">
        <f t="shared" si="86"/>
        <v>411</v>
      </c>
      <c r="AT55" s="225">
        <f t="shared" si="87"/>
        <v>459</v>
      </c>
    </row>
    <row r="56" spans="1:46" x14ac:dyDescent="0.25">
      <c r="A56" s="11"/>
      <c r="B56" s="11" t="s">
        <v>90</v>
      </c>
      <c r="C56" s="220">
        <f t="shared" si="50"/>
        <v>20760</v>
      </c>
      <c r="D56" s="221">
        <f t="shared" si="51"/>
        <v>23760</v>
      </c>
      <c r="E56" s="221">
        <f t="shared" si="52"/>
        <v>26700</v>
      </c>
      <c r="F56" s="221">
        <f t="shared" si="53"/>
        <v>29640</v>
      </c>
      <c r="G56" s="221">
        <f t="shared" si="54"/>
        <v>32040</v>
      </c>
      <c r="H56" s="222">
        <f t="shared" si="55"/>
        <v>34440</v>
      </c>
      <c r="I56" s="217">
        <f>'MTSP Income Limits'!G54</f>
        <v>17300</v>
      </c>
      <c r="J56" s="218">
        <f>'MTSP Income Limits'!H54</f>
        <v>19800</v>
      </c>
      <c r="K56" s="218">
        <f>'MTSP Income Limits'!I54</f>
        <v>22250</v>
      </c>
      <c r="L56" s="218">
        <f>'MTSP Income Limits'!J54</f>
        <v>24700</v>
      </c>
      <c r="M56" s="218">
        <f>'MTSP Income Limits'!K54</f>
        <v>26700</v>
      </c>
      <c r="N56" s="219">
        <f>'MTSP Income Limits'!L54</f>
        <v>28700</v>
      </c>
      <c r="O56" s="220">
        <f t="shared" si="56"/>
        <v>13840</v>
      </c>
      <c r="P56" s="221">
        <f t="shared" si="57"/>
        <v>15840</v>
      </c>
      <c r="Q56" s="221">
        <f t="shared" si="58"/>
        <v>17800</v>
      </c>
      <c r="R56" s="221">
        <f t="shared" si="59"/>
        <v>19760</v>
      </c>
      <c r="S56" s="221">
        <f t="shared" si="60"/>
        <v>21360</v>
      </c>
      <c r="T56" s="222">
        <f t="shared" si="61"/>
        <v>22960</v>
      </c>
      <c r="U56" s="223">
        <f t="shared" si="62"/>
        <v>10380</v>
      </c>
      <c r="V56" s="224">
        <f t="shared" si="63"/>
        <v>11880</v>
      </c>
      <c r="W56" s="224">
        <f t="shared" si="64"/>
        <v>13350</v>
      </c>
      <c r="X56" s="224">
        <f t="shared" si="65"/>
        <v>14820</v>
      </c>
      <c r="Y56" s="224">
        <f t="shared" si="66"/>
        <v>16020</v>
      </c>
      <c r="Z56" s="224">
        <f t="shared" si="67"/>
        <v>17220</v>
      </c>
      <c r="AA56" s="220">
        <f t="shared" si="68"/>
        <v>518</v>
      </c>
      <c r="AB56" s="221">
        <f t="shared" si="69"/>
        <v>555</v>
      </c>
      <c r="AC56" s="221">
        <f t="shared" si="70"/>
        <v>667</v>
      </c>
      <c r="AD56" s="221">
        <f t="shared" si="71"/>
        <v>770</v>
      </c>
      <c r="AE56" s="222">
        <f t="shared" si="72"/>
        <v>860</v>
      </c>
      <c r="AF56" s="223">
        <f t="shared" si="73"/>
        <v>432</v>
      </c>
      <c r="AG56" s="224">
        <f t="shared" si="74"/>
        <v>463</v>
      </c>
      <c r="AH56" s="224">
        <f t="shared" si="75"/>
        <v>556</v>
      </c>
      <c r="AI56" s="224">
        <f t="shared" si="76"/>
        <v>642</v>
      </c>
      <c r="AJ56" s="225">
        <f t="shared" si="77"/>
        <v>717</v>
      </c>
      <c r="AK56" s="220">
        <f t="shared" si="78"/>
        <v>345</v>
      </c>
      <c r="AL56" s="221">
        <f t="shared" si="79"/>
        <v>370</v>
      </c>
      <c r="AM56" s="221">
        <f t="shared" si="80"/>
        <v>444</v>
      </c>
      <c r="AN56" s="221">
        <f t="shared" si="81"/>
        <v>513</v>
      </c>
      <c r="AO56" s="222">
        <f t="shared" si="82"/>
        <v>573</v>
      </c>
      <c r="AP56" s="223">
        <f t="shared" si="83"/>
        <v>259</v>
      </c>
      <c r="AQ56" s="224">
        <f t="shared" si="84"/>
        <v>277</v>
      </c>
      <c r="AR56" s="224">
        <f t="shared" si="85"/>
        <v>333</v>
      </c>
      <c r="AS56" s="224">
        <f t="shared" si="86"/>
        <v>385</v>
      </c>
      <c r="AT56" s="225">
        <f t="shared" si="87"/>
        <v>430</v>
      </c>
    </row>
    <row r="57" spans="1:46" x14ac:dyDescent="0.25">
      <c r="A57" s="11"/>
      <c r="B57" s="11" t="s">
        <v>91</v>
      </c>
      <c r="C57" s="220">
        <f t="shared" si="50"/>
        <v>25620</v>
      </c>
      <c r="D57" s="221">
        <f t="shared" si="51"/>
        <v>29280</v>
      </c>
      <c r="E57" s="221">
        <f t="shared" si="52"/>
        <v>32940</v>
      </c>
      <c r="F57" s="221">
        <f t="shared" si="53"/>
        <v>36600</v>
      </c>
      <c r="G57" s="221">
        <f t="shared" si="54"/>
        <v>39540</v>
      </c>
      <c r="H57" s="222">
        <f t="shared" si="55"/>
        <v>42480</v>
      </c>
      <c r="I57" s="217">
        <f>'MTSP Income Limits'!G55</f>
        <v>21350</v>
      </c>
      <c r="J57" s="218">
        <f>'MTSP Income Limits'!H55</f>
        <v>24400</v>
      </c>
      <c r="K57" s="218">
        <f>'MTSP Income Limits'!I55</f>
        <v>27450</v>
      </c>
      <c r="L57" s="218">
        <f>'MTSP Income Limits'!J55</f>
        <v>30500</v>
      </c>
      <c r="M57" s="218">
        <f>'MTSP Income Limits'!K55</f>
        <v>32950</v>
      </c>
      <c r="N57" s="219">
        <f>'MTSP Income Limits'!L55</f>
        <v>35400</v>
      </c>
      <c r="O57" s="220">
        <f t="shared" si="56"/>
        <v>17080</v>
      </c>
      <c r="P57" s="221">
        <f t="shared" si="57"/>
        <v>19520</v>
      </c>
      <c r="Q57" s="221">
        <f t="shared" si="58"/>
        <v>21960</v>
      </c>
      <c r="R57" s="221">
        <f t="shared" si="59"/>
        <v>24400</v>
      </c>
      <c r="S57" s="221">
        <f t="shared" si="60"/>
        <v>26360</v>
      </c>
      <c r="T57" s="222">
        <f t="shared" si="61"/>
        <v>28320</v>
      </c>
      <c r="U57" s="223">
        <f t="shared" si="62"/>
        <v>12810</v>
      </c>
      <c r="V57" s="224">
        <f t="shared" si="63"/>
        <v>14640</v>
      </c>
      <c r="W57" s="224">
        <f t="shared" si="64"/>
        <v>16470</v>
      </c>
      <c r="X57" s="224">
        <f t="shared" si="65"/>
        <v>18300</v>
      </c>
      <c r="Y57" s="224">
        <f t="shared" si="66"/>
        <v>19770</v>
      </c>
      <c r="Z57" s="224">
        <f t="shared" si="67"/>
        <v>21240</v>
      </c>
      <c r="AA57" s="220">
        <f t="shared" si="68"/>
        <v>639</v>
      </c>
      <c r="AB57" s="221">
        <f t="shared" si="69"/>
        <v>685</v>
      </c>
      <c r="AC57" s="221">
        <f t="shared" si="70"/>
        <v>823</v>
      </c>
      <c r="AD57" s="221">
        <f t="shared" si="71"/>
        <v>951</v>
      </c>
      <c r="AE57" s="222">
        <f t="shared" si="72"/>
        <v>1062</v>
      </c>
      <c r="AF57" s="223">
        <f t="shared" si="73"/>
        <v>533</v>
      </c>
      <c r="AG57" s="224">
        <f t="shared" si="74"/>
        <v>571</v>
      </c>
      <c r="AH57" s="224">
        <f t="shared" si="75"/>
        <v>686</v>
      </c>
      <c r="AI57" s="224">
        <f t="shared" si="76"/>
        <v>793</v>
      </c>
      <c r="AJ57" s="225">
        <f t="shared" si="77"/>
        <v>885</v>
      </c>
      <c r="AK57" s="220">
        <f t="shared" si="78"/>
        <v>426</v>
      </c>
      <c r="AL57" s="221">
        <f t="shared" si="79"/>
        <v>456</v>
      </c>
      <c r="AM57" s="221">
        <f t="shared" si="80"/>
        <v>548</v>
      </c>
      <c r="AN57" s="221">
        <f t="shared" si="81"/>
        <v>634</v>
      </c>
      <c r="AO57" s="222">
        <f t="shared" si="82"/>
        <v>708</v>
      </c>
      <c r="AP57" s="223">
        <f t="shared" si="83"/>
        <v>319</v>
      </c>
      <c r="AQ57" s="224">
        <f t="shared" si="84"/>
        <v>342</v>
      </c>
      <c r="AR57" s="224">
        <f t="shared" si="85"/>
        <v>411</v>
      </c>
      <c r="AS57" s="224">
        <f t="shared" si="86"/>
        <v>475</v>
      </c>
      <c r="AT57" s="225">
        <f t="shared" si="87"/>
        <v>531</v>
      </c>
    </row>
    <row r="58" spans="1:46" x14ac:dyDescent="0.25">
      <c r="A58" s="11"/>
      <c r="B58" s="11" t="s">
        <v>92</v>
      </c>
      <c r="C58" s="220">
        <f t="shared" si="50"/>
        <v>21780</v>
      </c>
      <c r="D58" s="221">
        <f t="shared" si="51"/>
        <v>24900</v>
      </c>
      <c r="E58" s="221">
        <f t="shared" si="52"/>
        <v>28020</v>
      </c>
      <c r="F58" s="221">
        <f t="shared" si="53"/>
        <v>31080</v>
      </c>
      <c r="G58" s="221">
        <f t="shared" si="54"/>
        <v>33600</v>
      </c>
      <c r="H58" s="222">
        <f t="shared" si="55"/>
        <v>36060</v>
      </c>
      <c r="I58" s="217">
        <f>'MTSP Income Limits'!G56</f>
        <v>18150</v>
      </c>
      <c r="J58" s="218">
        <f>'MTSP Income Limits'!H56</f>
        <v>20750</v>
      </c>
      <c r="K58" s="218">
        <f>'MTSP Income Limits'!I56</f>
        <v>23350</v>
      </c>
      <c r="L58" s="218">
        <f>'MTSP Income Limits'!J56</f>
        <v>25900</v>
      </c>
      <c r="M58" s="218">
        <f>'MTSP Income Limits'!K56</f>
        <v>28000</v>
      </c>
      <c r="N58" s="219">
        <f>'MTSP Income Limits'!L56</f>
        <v>30050</v>
      </c>
      <c r="O58" s="220">
        <f t="shared" si="56"/>
        <v>14520</v>
      </c>
      <c r="P58" s="221">
        <f t="shared" si="57"/>
        <v>16600</v>
      </c>
      <c r="Q58" s="221">
        <f t="shared" si="58"/>
        <v>18680</v>
      </c>
      <c r="R58" s="221">
        <f t="shared" si="59"/>
        <v>20720</v>
      </c>
      <c r="S58" s="221">
        <f t="shared" si="60"/>
        <v>22400</v>
      </c>
      <c r="T58" s="222">
        <f t="shared" si="61"/>
        <v>24040</v>
      </c>
      <c r="U58" s="223">
        <f t="shared" si="62"/>
        <v>10890</v>
      </c>
      <c r="V58" s="224">
        <f t="shared" si="63"/>
        <v>12450</v>
      </c>
      <c r="W58" s="224">
        <f t="shared" si="64"/>
        <v>14010</v>
      </c>
      <c r="X58" s="224">
        <f t="shared" si="65"/>
        <v>15540</v>
      </c>
      <c r="Y58" s="224">
        <f t="shared" si="66"/>
        <v>16800</v>
      </c>
      <c r="Z58" s="224">
        <f t="shared" si="67"/>
        <v>18030</v>
      </c>
      <c r="AA58" s="220">
        <f t="shared" si="68"/>
        <v>543</v>
      </c>
      <c r="AB58" s="221">
        <f t="shared" si="69"/>
        <v>583</v>
      </c>
      <c r="AC58" s="221">
        <f t="shared" si="70"/>
        <v>699</v>
      </c>
      <c r="AD58" s="221">
        <f t="shared" si="71"/>
        <v>807</v>
      </c>
      <c r="AE58" s="222">
        <f t="shared" si="72"/>
        <v>901</v>
      </c>
      <c r="AF58" s="223">
        <f t="shared" si="73"/>
        <v>453</v>
      </c>
      <c r="AG58" s="224">
        <f t="shared" si="74"/>
        <v>486</v>
      </c>
      <c r="AH58" s="224">
        <f t="shared" si="75"/>
        <v>583</v>
      </c>
      <c r="AI58" s="224">
        <f t="shared" si="76"/>
        <v>673</v>
      </c>
      <c r="AJ58" s="225">
        <f t="shared" si="77"/>
        <v>751</v>
      </c>
      <c r="AK58" s="220">
        <f t="shared" si="78"/>
        <v>362</v>
      </c>
      <c r="AL58" s="221">
        <f t="shared" si="79"/>
        <v>388</v>
      </c>
      <c r="AM58" s="221">
        <f t="shared" si="80"/>
        <v>466</v>
      </c>
      <c r="AN58" s="221">
        <f t="shared" si="81"/>
        <v>538</v>
      </c>
      <c r="AO58" s="222">
        <f t="shared" si="82"/>
        <v>600</v>
      </c>
      <c r="AP58" s="223">
        <f t="shared" si="83"/>
        <v>271</v>
      </c>
      <c r="AQ58" s="224">
        <f t="shared" si="84"/>
        <v>291</v>
      </c>
      <c r="AR58" s="224">
        <f t="shared" si="85"/>
        <v>349</v>
      </c>
      <c r="AS58" s="224">
        <f t="shared" si="86"/>
        <v>403</v>
      </c>
      <c r="AT58" s="225">
        <f t="shared" si="87"/>
        <v>450</v>
      </c>
    </row>
    <row r="59" spans="1:46" x14ac:dyDescent="0.25">
      <c r="A59" s="11"/>
      <c r="B59" s="11" t="s">
        <v>93</v>
      </c>
      <c r="C59" s="220">
        <f t="shared" si="50"/>
        <v>31860</v>
      </c>
      <c r="D59" s="221">
        <f t="shared" si="51"/>
        <v>36420</v>
      </c>
      <c r="E59" s="221">
        <f t="shared" si="52"/>
        <v>40980</v>
      </c>
      <c r="F59" s="221">
        <f t="shared" si="53"/>
        <v>45480</v>
      </c>
      <c r="G59" s="221">
        <f t="shared" si="54"/>
        <v>49140</v>
      </c>
      <c r="H59" s="222">
        <f t="shared" si="55"/>
        <v>52800</v>
      </c>
      <c r="I59" s="217">
        <f>'MTSP Income Limits'!G57</f>
        <v>26550</v>
      </c>
      <c r="J59" s="218">
        <f>'MTSP Income Limits'!H57</f>
        <v>30350</v>
      </c>
      <c r="K59" s="218">
        <f>'MTSP Income Limits'!I57</f>
        <v>34150</v>
      </c>
      <c r="L59" s="218">
        <f>'MTSP Income Limits'!J57</f>
        <v>37900</v>
      </c>
      <c r="M59" s="218">
        <f>'MTSP Income Limits'!K57</f>
        <v>40950</v>
      </c>
      <c r="N59" s="219">
        <f>'MTSP Income Limits'!L57</f>
        <v>44000</v>
      </c>
      <c r="O59" s="220">
        <f t="shared" si="56"/>
        <v>21240</v>
      </c>
      <c r="P59" s="221">
        <f t="shared" si="57"/>
        <v>24280</v>
      </c>
      <c r="Q59" s="221">
        <f t="shared" si="58"/>
        <v>27320</v>
      </c>
      <c r="R59" s="221">
        <f t="shared" si="59"/>
        <v>30320</v>
      </c>
      <c r="S59" s="221">
        <f t="shared" si="60"/>
        <v>32760</v>
      </c>
      <c r="T59" s="222">
        <f t="shared" si="61"/>
        <v>35200</v>
      </c>
      <c r="U59" s="223">
        <f t="shared" si="62"/>
        <v>15930</v>
      </c>
      <c r="V59" s="224">
        <f t="shared" si="63"/>
        <v>18210</v>
      </c>
      <c r="W59" s="224">
        <f t="shared" si="64"/>
        <v>20490</v>
      </c>
      <c r="X59" s="224">
        <f t="shared" si="65"/>
        <v>22740</v>
      </c>
      <c r="Y59" s="224">
        <f t="shared" si="66"/>
        <v>24570</v>
      </c>
      <c r="Z59" s="224">
        <f t="shared" si="67"/>
        <v>26400</v>
      </c>
      <c r="AA59" s="220">
        <f t="shared" si="68"/>
        <v>795</v>
      </c>
      <c r="AB59" s="221">
        <f t="shared" si="69"/>
        <v>853</v>
      </c>
      <c r="AC59" s="221">
        <f t="shared" si="70"/>
        <v>1023</v>
      </c>
      <c r="AD59" s="221">
        <f t="shared" si="71"/>
        <v>1182</v>
      </c>
      <c r="AE59" s="222">
        <f t="shared" si="72"/>
        <v>1320</v>
      </c>
      <c r="AF59" s="223">
        <f t="shared" si="73"/>
        <v>663</v>
      </c>
      <c r="AG59" s="224">
        <f t="shared" si="74"/>
        <v>711</v>
      </c>
      <c r="AH59" s="224">
        <f t="shared" si="75"/>
        <v>853</v>
      </c>
      <c r="AI59" s="224">
        <f t="shared" si="76"/>
        <v>985</v>
      </c>
      <c r="AJ59" s="225">
        <f t="shared" si="77"/>
        <v>1100</v>
      </c>
      <c r="AK59" s="220">
        <f t="shared" si="78"/>
        <v>530</v>
      </c>
      <c r="AL59" s="221">
        <f t="shared" si="79"/>
        <v>568</v>
      </c>
      <c r="AM59" s="221">
        <f t="shared" si="80"/>
        <v>682</v>
      </c>
      <c r="AN59" s="221">
        <f t="shared" si="81"/>
        <v>788</v>
      </c>
      <c r="AO59" s="222">
        <f t="shared" si="82"/>
        <v>880</v>
      </c>
      <c r="AP59" s="223">
        <f t="shared" si="83"/>
        <v>397</v>
      </c>
      <c r="AQ59" s="224">
        <f t="shared" si="84"/>
        <v>426</v>
      </c>
      <c r="AR59" s="224">
        <f t="shared" si="85"/>
        <v>511</v>
      </c>
      <c r="AS59" s="224">
        <f t="shared" si="86"/>
        <v>591</v>
      </c>
      <c r="AT59" s="225">
        <f t="shared" si="87"/>
        <v>660</v>
      </c>
    </row>
    <row r="60" spans="1:46" x14ac:dyDescent="0.25">
      <c r="A60" s="11"/>
      <c r="B60" s="11" t="s">
        <v>94</v>
      </c>
      <c r="C60" s="220">
        <f t="shared" si="50"/>
        <v>21540</v>
      </c>
      <c r="D60" s="221">
        <f t="shared" si="51"/>
        <v>24600</v>
      </c>
      <c r="E60" s="221">
        <f t="shared" si="52"/>
        <v>27660</v>
      </c>
      <c r="F60" s="221">
        <f t="shared" si="53"/>
        <v>30720</v>
      </c>
      <c r="G60" s="221">
        <f t="shared" si="54"/>
        <v>33180</v>
      </c>
      <c r="H60" s="222">
        <f t="shared" si="55"/>
        <v>35640</v>
      </c>
      <c r="I60" s="217">
        <f>'MTSP Income Limits'!G58</f>
        <v>17950</v>
      </c>
      <c r="J60" s="218">
        <f>'MTSP Income Limits'!H58</f>
        <v>20500</v>
      </c>
      <c r="K60" s="218">
        <f>'MTSP Income Limits'!I58</f>
        <v>23050</v>
      </c>
      <c r="L60" s="218">
        <f>'MTSP Income Limits'!J58</f>
        <v>25600</v>
      </c>
      <c r="M60" s="218">
        <f>'MTSP Income Limits'!K58</f>
        <v>27650</v>
      </c>
      <c r="N60" s="219">
        <f>'MTSP Income Limits'!L58</f>
        <v>29700</v>
      </c>
      <c r="O60" s="220">
        <f t="shared" si="56"/>
        <v>14360</v>
      </c>
      <c r="P60" s="221">
        <f t="shared" si="57"/>
        <v>16400</v>
      </c>
      <c r="Q60" s="221">
        <f t="shared" si="58"/>
        <v>18440</v>
      </c>
      <c r="R60" s="221">
        <f t="shared" si="59"/>
        <v>20480</v>
      </c>
      <c r="S60" s="221">
        <f t="shared" si="60"/>
        <v>22120</v>
      </c>
      <c r="T60" s="222">
        <f t="shared" si="61"/>
        <v>23760</v>
      </c>
      <c r="U60" s="223">
        <f t="shared" si="62"/>
        <v>10770</v>
      </c>
      <c r="V60" s="224">
        <f t="shared" si="63"/>
        <v>12300</v>
      </c>
      <c r="W60" s="224">
        <f t="shared" si="64"/>
        <v>13830</v>
      </c>
      <c r="X60" s="224">
        <f t="shared" si="65"/>
        <v>15360</v>
      </c>
      <c r="Y60" s="224">
        <f t="shared" si="66"/>
        <v>16590</v>
      </c>
      <c r="Z60" s="224">
        <f t="shared" si="67"/>
        <v>17820</v>
      </c>
      <c r="AA60" s="220">
        <f t="shared" si="68"/>
        <v>537</v>
      </c>
      <c r="AB60" s="221">
        <f t="shared" si="69"/>
        <v>576</v>
      </c>
      <c r="AC60" s="221">
        <f t="shared" si="70"/>
        <v>691</v>
      </c>
      <c r="AD60" s="221">
        <f t="shared" si="71"/>
        <v>798</v>
      </c>
      <c r="AE60" s="222">
        <f t="shared" si="72"/>
        <v>890</v>
      </c>
      <c r="AF60" s="223">
        <f t="shared" si="73"/>
        <v>448</v>
      </c>
      <c r="AG60" s="224">
        <f t="shared" si="74"/>
        <v>480</v>
      </c>
      <c r="AH60" s="224">
        <f t="shared" si="75"/>
        <v>576</v>
      </c>
      <c r="AI60" s="224">
        <f t="shared" si="76"/>
        <v>665</v>
      </c>
      <c r="AJ60" s="225">
        <f t="shared" si="77"/>
        <v>742</v>
      </c>
      <c r="AK60" s="220">
        <f t="shared" si="78"/>
        <v>358</v>
      </c>
      <c r="AL60" s="221">
        <f t="shared" si="79"/>
        <v>384</v>
      </c>
      <c r="AM60" s="221">
        <f t="shared" si="80"/>
        <v>460</v>
      </c>
      <c r="AN60" s="221">
        <f t="shared" si="81"/>
        <v>532</v>
      </c>
      <c r="AO60" s="222">
        <f t="shared" si="82"/>
        <v>593</v>
      </c>
      <c r="AP60" s="223">
        <f t="shared" si="83"/>
        <v>268</v>
      </c>
      <c r="AQ60" s="224">
        <f t="shared" si="84"/>
        <v>288</v>
      </c>
      <c r="AR60" s="224">
        <f t="shared" si="85"/>
        <v>345</v>
      </c>
      <c r="AS60" s="224">
        <f t="shared" si="86"/>
        <v>399</v>
      </c>
      <c r="AT60" s="225">
        <f t="shared" si="87"/>
        <v>445</v>
      </c>
    </row>
    <row r="61" spans="1:46" x14ac:dyDescent="0.25">
      <c r="A61" s="11"/>
      <c r="B61" s="11" t="s">
        <v>95</v>
      </c>
      <c r="C61" s="220">
        <f t="shared" si="50"/>
        <v>23400</v>
      </c>
      <c r="D61" s="221">
        <f t="shared" si="51"/>
        <v>26700</v>
      </c>
      <c r="E61" s="221">
        <f t="shared" si="52"/>
        <v>30060</v>
      </c>
      <c r="F61" s="221">
        <f t="shared" si="53"/>
        <v>33360</v>
      </c>
      <c r="G61" s="221">
        <f t="shared" si="54"/>
        <v>36060</v>
      </c>
      <c r="H61" s="222">
        <f t="shared" si="55"/>
        <v>38700</v>
      </c>
      <c r="I61" s="217">
        <f>'MTSP Income Limits'!G59</f>
        <v>19500</v>
      </c>
      <c r="J61" s="218">
        <f>'MTSP Income Limits'!H59</f>
        <v>22250</v>
      </c>
      <c r="K61" s="218">
        <f>'MTSP Income Limits'!I59</f>
        <v>25050</v>
      </c>
      <c r="L61" s="218">
        <f>'MTSP Income Limits'!J59</f>
        <v>27800</v>
      </c>
      <c r="M61" s="218">
        <f>'MTSP Income Limits'!K59</f>
        <v>30050</v>
      </c>
      <c r="N61" s="219">
        <f>'MTSP Income Limits'!L59</f>
        <v>32250</v>
      </c>
      <c r="O61" s="220">
        <f t="shared" si="56"/>
        <v>15600</v>
      </c>
      <c r="P61" s="221">
        <f t="shared" si="57"/>
        <v>17800</v>
      </c>
      <c r="Q61" s="221">
        <f t="shared" si="58"/>
        <v>20040</v>
      </c>
      <c r="R61" s="221">
        <f t="shared" si="59"/>
        <v>22240</v>
      </c>
      <c r="S61" s="221">
        <f t="shared" si="60"/>
        <v>24040</v>
      </c>
      <c r="T61" s="222">
        <f t="shared" si="61"/>
        <v>25800</v>
      </c>
      <c r="U61" s="223">
        <f t="shared" si="62"/>
        <v>11700</v>
      </c>
      <c r="V61" s="224">
        <f t="shared" si="63"/>
        <v>13350</v>
      </c>
      <c r="W61" s="224">
        <f t="shared" si="64"/>
        <v>15030</v>
      </c>
      <c r="X61" s="224">
        <f t="shared" si="65"/>
        <v>16680</v>
      </c>
      <c r="Y61" s="224">
        <f t="shared" si="66"/>
        <v>18030</v>
      </c>
      <c r="Z61" s="224">
        <f t="shared" si="67"/>
        <v>19350</v>
      </c>
      <c r="AA61" s="220">
        <f t="shared" si="68"/>
        <v>584</v>
      </c>
      <c r="AB61" s="221">
        <f t="shared" si="69"/>
        <v>625</v>
      </c>
      <c r="AC61" s="221">
        <f t="shared" si="70"/>
        <v>751</v>
      </c>
      <c r="AD61" s="221">
        <f t="shared" si="71"/>
        <v>867</v>
      </c>
      <c r="AE61" s="222">
        <f t="shared" si="72"/>
        <v>967</v>
      </c>
      <c r="AF61" s="223">
        <f t="shared" si="73"/>
        <v>487</v>
      </c>
      <c r="AG61" s="224">
        <f t="shared" si="74"/>
        <v>521</v>
      </c>
      <c r="AH61" s="224">
        <f t="shared" si="75"/>
        <v>626</v>
      </c>
      <c r="AI61" s="224">
        <f t="shared" si="76"/>
        <v>723</v>
      </c>
      <c r="AJ61" s="225">
        <f t="shared" si="77"/>
        <v>806</v>
      </c>
      <c r="AK61" s="220">
        <f t="shared" si="78"/>
        <v>389</v>
      </c>
      <c r="AL61" s="221">
        <f t="shared" si="79"/>
        <v>416</v>
      </c>
      <c r="AM61" s="221">
        <f t="shared" si="80"/>
        <v>500</v>
      </c>
      <c r="AN61" s="221">
        <f t="shared" si="81"/>
        <v>578</v>
      </c>
      <c r="AO61" s="222">
        <f t="shared" si="82"/>
        <v>644</v>
      </c>
      <c r="AP61" s="223">
        <f t="shared" si="83"/>
        <v>292</v>
      </c>
      <c r="AQ61" s="224">
        <f t="shared" si="84"/>
        <v>312</v>
      </c>
      <c r="AR61" s="224">
        <f t="shared" si="85"/>
        <v>375</v>
      </c>
      <c r="AS61" s="224">
        <f t="shared" si="86"/>
        <v>433</v>
      </c>
      <c r="AT61" s="225">
        <f t="shared" si="87"/>
        <v>483</v>
      </c>
    </row>
    <row r="62" spans="1:46" x14ac:dyDescent="0.25">
      <c r="A62" s="11"/>
      <c r="B62" s="11" t="s">
        <v>96</v>
      </c>
      <c r="C62" s="220">
        <f t="shared" si="50"/>
        <v>20760</v>
      </c>
      <c r="D62" s="221">
        <f t="shared" si="51"/>
        <v>23760</v>
      </c>
      <c r="E62" s="221">
        <f t="shared" si="52"/>
        <v>26700</v>
      </c>
      <c r="F62" s="221">
        <f t="shared" si="53"/>
        <v>29640</v>
      </c>
      <c r="G62" s="221">
        <f t="shared" si="54"/>
        <v>32040</v>
      </c>
      <c r="H62" s="222">
        <f t="shared" si="55"/>
        <v>34440</v>
      </c>
      <c r="I62" s="217">
        <f>'MTSP Income Limits'!G60</f>
        <v>17300</v>
      </c>
      <c r="J62" s="218">
        <f>'MTSP Income Limits'!H60</f>
        <v>19800</v>
      </c>
      <c r="K62" s="218">
        <f>'MTSP Income Limits'!I60</f>
        <v>22250</v>
      </c>
      <c r="L62" s="218">
        <f>'MTSP Income Limits'!J60</f>
        <v>24700</v>
      </c>
      <c r="M62" s="218">
        <f>'MTSP Income Limits'!K60</f>
        <v>26700</v>
      </c>
      <c r="N62" s="219">
        <f>'MTSP Income Limits'!L60</f>
        <v>28700</v>
      </c>
      <c r="O62" s="220">
        <f t="shared" si="56"/>
        <v>13840</v>
      </c>
      <c r="P62" s="221">
        <f t="shared" si="57"/>
        <v>15840</v>
      </c>
      <c r="Q62" s="221">
        <f t="shared" si="58"/>
        <v>17800</v>
      </c>
      <c r="R62" s="221">
        <f t="shared" si="59"/>
        <v>19760</v>
      </c>
      <c r="S62" s="221">
        <f t="shared" si="60"/>
        <v>21360</v>
      </c>
      <c r="T62" s="222">
        <f t="shared" si="61"/>
        <v>22960</v>
      </c>
      <c r="U62" s="223">
        <f t="shared" si="62"/>
        <v>10380</v>
      </c>
      <c r="V62" s="224">
        <f t="shared" si="63"/>
        <v>11880</v>
      </c>
      <c r="W62" s="224">
        <f t="shared" si="64"/>
        <v>13350</v>
      </c>
      <c r="X62" s="224">
        <f t="shared" si="65"/>
        <v>14820</v>
      </c>
      <c r="Y62" s="224">
        <f t="shared" si="66"/>
        <v>16020</v>
      </c>
      <c r="Z62" s="224">
        <f t="shared" si="67"/>
        <v>17220</v>
      </c>
      <c r="AA62" s="220">
        <f t="shared" si="68"/>
        <v>518</v>
      </c>
      <c r="AB62" s="221">
        <f t="shared" si="69"/>
        <v>555</v>
      </c>
      <c r="AC62" s="221">
        <f t="shared" si="70"/>
        <v>667</v>
      </c>
      <c r="AD62" s="221">
        <f t="shared" si="71"/>
        <v>770</v>
      </c>
      <c r="AE62" s="222">
        <f t="shared" si="72"/>
        <v>860</v>
      </c>
      <c r="AF62" s="223">
        <f t="shared" si="73"/>
        <v>432</v>
      </c>
      <c r="AG62" s="224">
        <f t="shared" si="74"/>
        <v>463</v>
      </c>
      <c r="AH62" s="224">
        <f t="shared" si="75"/>
        <v>556</v>
      </c>
      <c r="AI62" s="224">
        <f t="shared" si="76"/>
        <v>642</v>
      </c>
      <c r="AJ62" s="225">
        <f t="shared" si="77"/>
        <v>717</v>
      </c>
      <c r="AK62" s="220">
        <f t="shared" si="78"/>
        <v>345</v>
      </c>
      <c r="AL62" s="221">
        <f t="shared" si="79"/>
        <v>370</v>
      </c>
      <c r="AM62" s="221">
        <f t="shared" si="80"/>
        <v>444</v>
      </c>
      <c r="AN62" s="221">
        <f t="shared" si="81"/>
        <v>513</v>
      </c>
      <c r="AO62" s="222">
        <f t="shared" si="82"/>
        <v>573</v>
      </c>
      <c r="AP62" s="223">
        <f t="shared" si="83"/>
        <v>259</v>
      </c>
      <c r="AQ62" s="224">
        <f t="shared" si="84"/>
        <v>277</v>
      </c>
      <c r="AR62" s="224">
        <f t="shared" si="85"/>
        <v>333</v>
      </c>
      <c r="AS62" s="224">
        <f t="shared" si="86"/>
        <v>385</v>
      </c>
      <c r="AT62" s="225">
        <f t="shared" si="87"/>
        <v>430</v>
      </c>
    </row>
    <row r="63" spans="1:46" x14ac:dyDescent="0.25">
      <c r="A63" s="11"/>
      <c r="B63" s="11" t="s">
        <v>97</v>
      </c>
      <c r="C63" s="220">
        <f t="shared" si="50"/>
        <v>24360</v>
      </c>
      <c r="D63" s="221">
        <f t="shared" si="51"/>
        <v>27840</v>
      </c>
      <c r="E63" s="221">
        <f t="shared" si="52"/>
        <v>31320</v>
      </c>
      <c r="F63" s="221">
        <f t="shared" si="53"/>
        <v>34800</v>
      </c>
      <c r="G63" s="221">
        <f t="shared" si="54"/>
        <v>37620</v>
      </c>
      <c r="H63" s="222">
        <f t="shared" si="55"/>
        <v>40380</v>
      </c>
      <c r="I63" s="217">
        <f>'MTSP Income Limits'!G61</f>
        <v>20300</v>
      </c>
      <c r="J63" s="218">
        <f>'MTSP Income Limits'!H61</f>
        <v>23200</v>
      </c>
      <c r="K63" s="218">
        <f>'MTSP Income Limits'!I61</f>
        <v>26100</v>
      </c>
      <c r="L63" s="218">
        <f>'MTSP Income Limits'!J61</f>
        <v>29000</v>
      </c>
      <c r="M63" s="218">
        <f>'MTSP Income Limits'!K61</f>
        <v>31350</v>
      </c>
      <c r="N63" s="219">
        <f>'MTSP Income Limits'!L61</f>
        <v>33650</v>
      </c>
      <c r="O63" s="220">
        <f t="shared" si="56"/>
        <v>16240</v>
      </c>
      <c r="P63" s="221">
        <f t="shared" si="57"/>
        <v>18560</v>
      </c>
      <c r="Q63" s="221">
        <f t="shared" si="58"/>
        <v>20880</v>
      </c>
      <c r="R63" s="221">
        <f t="shared" si="59"/>
        <v>23200</v>
      </c>
      <c r="S63" s="221">
        <f t="shared" si="60"/>
        <v>25080</v>
      </c>
      <c r="T63" s="222">
        <f t="shared" si="61"/>
        <v>26920</v>
      </c>
      <c r="U63" s="223">
        <f t="shared" si="62"/>
        <v>12180</v>
      </c>
      <c r="V63" s="224">
        <f t="shared" si="63"/>
        <v>13920</v>
      </c>
      <c r="W63" s="224">
        <f t="shared" si="64"/>
        <v>15660</v>
      </c>
      <c r="X63" s="224">
        <f t="shared" si="65"/>
        <v>17400</v>
      </c>
      <c r="Y63" s="224">
        <f t="shared" si="66"/>
        <v>18810</v>
      </c>
      <c r="Z63" s="224">
        <f t="shared" si="67"/>
        <v>20190</v>
      </c>
      <c r="AA63" s="220">
        <f t="shared" si="68"/>
        <v>608</v>
      </c>
      <c r="AB63" s="221">
        <f t="shared" si="69"/>
        <v>651</v>
      </c>
      <c r="AC63" s="221">
        <f t="shared" si="70"/>
        <v>782</v>
      </c>
      <c r="AD63" s="221">
        <f t="shared" si="71"/>
        <v>904</v>
      </c>
      <c r="AE63" s="222">
        <f t="shared" si="72"/>
        <v>1009</v>
      </c>
      <c r="AF63" s="223">
        <f t="shared" si="73"/>
        <v>507</v>
      </c>
      <c r="AG63" s="224">
        <f t="shared" si="74"/>
        <v>543</v>
      </c>
      <c r="AH63" s="224">
        <f t="shared" si="75"/>
        <v>652</v>
      </c>
      <c r="AI63" s="224">
        <f t="shared" si="76"/>
        <v>754</v>
      </c>
      <c r="AJ63" s="225">
        <f t="shared" si="77"/>
        <v>841</v>
      </c>
      <c r="AK63" s="220">
        <f t="shared" si="78"/>
        <v>405</v>
      </c>
      <c r="AL63" s="221">
        <f t="shared" si="79"/>
        <v>434</v>
      </c>
      <c r="AM63" s="221">
        <f t="shared" si="80"/>
        <v>521</v>
      </c>
      <c r="AN63" s="221">
        <f t="shared" si="81"/>
        <v>603</v>
      </c>
      <c r="AO63" s="222">
        <f t="shared" si="82"/>
        <v>672</v>
      </c>
      <c r="AP63" s="223">
        <f t="shared" si="83"/>
        <v>304</v>
      </c>
      <c r="AQ63" s="224">
        <f t="shared" si="84"/>
        <v>325</v>
      </c>
      <c r="AR63" s="224">
        <f t="shared" si="85"/>
        <v>391</v>
      </c>
      <c r="AS63" s="224">
        <f t="shared" si="86"/>
        <v>452</v>
      </c>
      <c r="AT63" s="225">
        <f t="shared" si="87"/>
        <v>504</v>
      </c>
    </row>
    <row r="64" spans="1:46" x14ac:dyDescent="0.25">
      <c r="A64" s="11"/>
      <c r="B64" s="11" t="s">
        <v>98</v>
      </c>
      <c r="C64" s="220">
        <f t="shared" si="50"/>
        <v>20760</v>
      </c>
      <c r="D64" s="221">
        <f t="shared" si="51"/>
        <v>23760</v>
      </c>
      <c r="E64" s="221">
        <f t="shared" si="52"/>
        <v>26700</v>
      </c>
      <c r="F64" s="221">
        <f t="shared" si="53"/>
        <v>29640</v>
      </c>
      <c r="G64" s="221">
        <f t="shared" si="54"/>
        <v>32040</v>
      </c>
      <c r="H64" s="222">
        <f t="shared" si="55"/>
        <v>34440</v>
      </c>
      <c r="I64" s="217">
        <f>'MTSP Income Limits'!G62</f>
        <v>17300</v>
      </c>
      <c r="J64" s="218">
        <f>'MTSP Income Limits'!H62</f>
        <v>19800</v>
      </c>
      <c r="K64" s="218">
        <f>'MTSP Income Limits'!I62</f>
        <v>22250</v>
      </c>
      <c r="L64" s="218">
        <f>'MTSP Income Limits'!J62</f>
        <v>24700</v>
      </c>
      <c r="M64" s="218">
        <f>'MTSP Income Limits'!K62</f>
        <v>26700</v>
      </c>
      <c r="N64" s="219">
        <f>'MTSP Income Limits'!L62</f>
        <v>28700</v>
      </c>
      <c r="O64" s="220">
        <f t="shared" si="56"/>
        <v>13840</v>
      </c>
      <c r="P64" s="221">
        <f t="shared" si="57"/>
        <v>15840</v>
      </c>
      <c r="Q64" s="221">
        <f t="shared" si="58"/>
        <v>17800</v>
      </c>
      <c r="R64" s="221">
        <f t="shared" si="59"/>
        <v>19760</v>
      </c>
      <c r="S64" s="221">
        <f t="shared" si="60"/>
        <v>21360</v>
      </c>
      <c r="T64" s="222">
        <f t="shared" si="61"/>
        <v>22960</v>
      </c>
      <c r="U64" s="223">
        <f t="shared" si="62"/>
        <v>10380</v>
      </c>
      <c r="V64" s="224">
        <f t="shared" si="63"/>
        <v>11880</v>
      </c>
      <c r="W64" s="224">
        <f t="shared" si="64"/>
        <v>13350</v>
      </c>
      <c r="X64" s="224">
        <f t="shared" si="65"/>
        <v>14820</v>
      </c>
      <c r="Y64" s="224">
        <f t="shared" si="66"/>
        <v>16020</v>
      </c>
      <c r="Z64" s="224">
        <f t="shared" si="67"/>
        <v>17220</v>
      </c>
      <c r="AA64" s="220">
        <f t="shared" si="68"/>
        <v>518</v>
      </c>
      <c r="AB64" s="221">
        <f t="shared" si="69"/>
        <v>555</v>
      </c>
      <c r="AC64" s="221">
        <f t="shared" si="70"/>
        <v>667</v>
      </c>
      <c r="AD64" s="221">
        <f t="shared" si="71"/>
        <v>770</v>
      </c>
      <c r="AE64" s="222">
        <f t="shared" si="72"/>
        <v>860</v>
      </c>
      <c r="AF64" s="223">
        <f t="shared" si="73"/>
        <v>432</v>
      </c>
      <c r="AG64" s="224">
        <f t="shared" si="74"/>
        <v>463</v>
      </c>
      <c r="AH64" s="224">
        <f t="shared" si="75"/>
        <v>556</v>
      </c>
      <c r="AI64" s="224">
        <f t="shared" si="76"/>
        <v>642</v>
      </c>
      <c r="AJ64" s="225">
        <f t="shared" si="77"/>
        <v>717</v>
      </c>
      <c r="AK64" s="220">
        <f t="shared" si="78"/>
        <v>345</v>
      </c>
      <c r="AL64" s="221">
        <f t="shared" si="79"/>
        <v>370</v>
      </c>
      <c r="AM64" s="221">
        <f t="shared" si="80"/>
        <v>444</v>
      </c>
      <c r="AN64" s="221">
        <f t="shared" si="81"/>
        <v>513</v>
      </c>
      <c r="AO64" s="222">
        <f t="shared" si="82"/>
        <v>573</v>
      </c>
      <c r="AP64" s="223">
        <f t="shared" si="83"/>
        <v>259</v>
      </c>
      <c r="AQ64" s="224">
        <f t="shared" si="84"/>
        <v>277</v>
      </c>
      <c r="AR64" s="224">
        <f t="shared" si="85"/>
        <v>333</v>
      </c>
      <c r="AS64" s="224">
        <f t="shared" si="86"/>
        <v>385</v>
      </c>
      <c r="AT64" s="225">
        <f t="shared" si="87"/>
        <v>430</v>
      </c>
    </row>
    <row r="65" spans="1:46" x14ac:dyDescent="0.25">
      <c r="A65" s="11"/>
      <c r="B65" s="11" t="s">
        <v>99</v>
      </c>
      <c r="C65" s="220">
        <f t="shared" si="50"/>
        <v>21360</v>
      </c>
      <c r="D65" s="221">
        <f t="shared" si="51"/>
        <v>24420</v>
      </c>
      <c r="E65" s="221">
        <f t="shared" si="52"/>
        <v>27480</v>
      </c>
      <c r="F65" s="221">
        <f t="shared" si="53"/>
        <v>30480</v>
      </c>
      <c r="G65" s="221">
        <f t="shared" si="54"/>
        <v>32940</v>
      </c>
      <c r="H65" s="222">
        <f t="shared" si="55"/>
        <v>35400</v>
      </c>
      <c r="I65" s="217">
        <f>'MTSP Income Limits'!G63</f>
        <v>17800</v>
      </c>
      <c r="J65" s="218">
        <f>'MTSP Income Limits'!H63</f>
        <v>20350</v>
      </c>
      <c r="K65" s="218">
        <f>'MTSP Income Limits'!I63</f>
        <v>22900</v>
      </c>
      <c r="L65" s="218">
        <f>'MTSP Income Limits'!J63</f>
        <v>25400</v>
      </c>
      <c r="M65" s="218">
        <f>'MTSP Income Limits'!K63</f>
        <v>27450</v>
      </c>
      <c r="N65" s="219">
        <f>'MTSP Income Limits'!L63</f>
        <v>29500</v>
      </c>
      <c r="O65" s="220">
        <f t="shared" si="56"/>
        <v>14240</v>
      </c>
      <c r="P65" s="221">
        <f t="shared" si="57"/>
        <v>16280</v>
      </c>
      <c r="Q65" s="221">
        <f t="shared" si="58"/>
        <v>18320</v>
      </c>
      <c r="R65" s="221">
        <f t="shared" si="59"/>
        <v>20320</v>
      </c>
      <c r="S65" s="221">
        <f t="shared" si="60"/>
        <v>21960</v>
      </c>
      <c r="T65" s="222">
        <f t="shared" si="61"/>
        <v>23600</v>
      </c>
      <c r="U65" s="223">
        <f t="shared" si="62"/>
        <v>10680</v>
      </c>
      <c r="V65" s="224">
        <f t="shared" si="63"/>
        <v>12210</v>
      </c>
      <c r="W65" s="224">
        <f t="shared" si="64"/>
        <v>13740</v>
      </c>
      <c r="X65" s="224">
        <f t="shared" si="65"/>
        <v>15240</v>
      </c>
      <c r="Y65" s="224">
        <f t="shared" si="66"/>
        <v>16470</v>
      </c>
      <c r="Z65" s="224">
        <f t="shared" si="67"/>
        <v>17700</v>
      </c>
      <c r="AA65" s="220">
        <f t="shared" si="68"/>
        <v>534</v>
      </c>
      <c r="AB65" s="221">
        <f t="shared" si="69"/>
        <v>571</v>
      </c>
      <c r="AC65" s="221">
        <f t="shared" si="70"/>
        <v>686</v>
      </c>
      <c r="AD65" s="221">
        <f t="shared" si="71"/>
        <v>792</v>
      </c>
      <c r="AE65" s="222">
        <f t="shared" si="72"/>
        <v>884</v>
      </c>
      <c r="AF65" s="223">
        <f t="shared" si="73"/>
        <v>445</v>
      </c>
      <c r="AG65" s="224">
        <f t="shared" si="74"/>
        <v>476</v>
      </c>
      <c r="AH65" s="224">
        <f t="shared" si="75"/>
        <v>572</v>
      </c>
      <c r="AI65" s="224">
        <f t="shared" si="76"/>
        <v>660</v>
      </c>
      <c r="AJ65" s="225">
        <f t="shared" si="77"/>
        <v>737</v>
      </c>
      <c r="AK65" s="220">
        <f t="shared" si="78"/>
        <v>356</v>
      </c>
      <c r="AL65" s="221">
        <f t="shared" si="79"/>
        <v>380</v>
      </c>
      <c r="AM65" s="221">
        <f t="shared" si="80"/>
        <v>457</v>
      </c>
      <c r="AN65" s="221">
        <f t="shared" si="81"/>
        <v>528</v>
      </c>
      <c r="AO65" s="222">
        <f t="shared" si="82"/>
        <v>589</v>
      </c>
      <c r="AP65" s="223">
        <f t="shared" si="83"/>
        <v>267</v>
      </c>
      <c r="AQ65" s="224">
        <f t="shared" si="84"/>
        <v>285</v>
      </c>
      <c r="AR65" s="224">
        <f t="shared" si="85"/>
        <v>343</v>
      </c>
      <c r="AS65" s="224">
        <f t="shared" si="86"/>
        <v>396</v>
      </c>
      <c r="AT65" s="225">
        <f t="shared" si="87"/>
        <v>442</v>
      </c>
    </row>
    <row r="66" spans="1:46" x14ac:dyDescent="0.25">
      <c r="A66" s="11"/>
      <c r="B66" s="11" t="s">
        <v>100</v>
      </c>
      <c r="C66" s="220">
        <f t="shared" si="50"/>
        <v>23520</v>
      </c>
      <c r="D66" s="221">
        <f t="shared" si="51"/>
        <v>26880</v>
      </c>
      <c r="E66" s="221">
        <f t="shared" si="52"/>
        <v>30240</v>
      </c>
      <c r="F66" s="221">
        <f t="shared" si="53"/>
        <v>33600</v>
      </c>
      <c r="G66" s="221">
        <f t="shared" si="54"/>
        <v>36300</v>
      </c>
      <c r="H66" s="222">
        <f t="shared" si="55"/>
        <v>39000</v>
      </c>
      <c r="I66" s="217">
        <f>'MTSP Income Limits'!G64</f>
        <v>19600</v>
      </c>
      <c r="J66" s="218">
        <f>'MTSP Income Limits'!H64</f>
        <v>22400</v>
      </c>
      <c r="K66" s="218">
        <f>'MTSP Income Limits'!I64</f>
        <v>25200</v>
      </c>
      <c r="L66" s="218">
        <f>'MTSP Income Limits'!J64</f>
        <v>28000</v>
      </c>
      <c r="M66" s="218">
        <f>'MTSP Income Limits'!K64</f>
        <v>30250</v>
      </c>
      <c r="N66" s="219">
        <f>'MTSP Income Limits'!L64</f>
        <v>32500</v>
      </c>
      <c r="O66" s="220">
        <f t="shared" si="56"/>
        <v>15680</v>
      </c>
      <c r="P66" s="221">
        <f t="shared" si="57"/>
        <v>17920</v>
      </c>
      <c r="Q66" s="221">
        <f t="shared" si="58"/>
        <v>20160</v>
      </c>
      <c r="R66" s="221">
        <f t="shared" si="59"/>
        <v>22400</v>
      </c>
      <c r="S66" s="221">
        <f t="shared" si="60"/>
        <v>24200</v>
      </c>
      <c r="T66" s="222">
        <f t="shared" si="61"/>
        <v>26000</v>
      </c>
      <c r="U66" s="223">
        <f t="shared" si="62"/>
        <v>11760</v>
      </c>
      <c r="V66" s="224">
        <f t="shared" si="63"/>
        <v>13440</v>
      </c>
      <c r="W66" s="224">
        <f t="shared" si="64"/>
        <v>15120</v>
      </c>
      <c r="X66" s="224">
        <f t="shared" si="65"/>
        <v>16800</v>
      </c>
      <c r="Y66" s="224">
        <f t="shared" si="66"/>
        <v>18150</v>
      </c>
      <c r="Z66" s="224">
        <f t="shared" si="67"/>
        <v>19500</v>
      </c>
      <c r="AA66" s="220">
        <f t="shared" si="68"/>
        <v>588</v>
      </c>
      <c r="AB66" s="221">
        <f t="shared" si="69"/>
        <v>630</v>
      </c>
      <c r="AC66" s="221">
        <f t="shared" si="70"/>
        <v>756</v>
      </c>
      <c r="AD66" s="221">
        <f t="shared" si="71"/>
        <v>873</v>
      </c>
      <c r="AE66" s="222">
        <f t="shared" si="72"/>
        <v>974</v>
      </c>
      <c r="AF66" s="223">
        <f t="shared" si="73"/>
        <v>490</v>
      </c>
      <c r="AG66" s="224">
        <f t="shared" si="74"/>
        <v>525</v>
      </c>
      <c r="AH66" s="224">
        <f t="shared" si="75"/>
        <v>630</v>
      </c>
      <c r="AI66" s="224">
        <f t="shared" si="76"/>
        <v>728</v>
      </c>
      <c r="AJ66" s="225">
        <f t="shared" si="77"/>
        <v>812</v>
      </c>
      <c r="AK66" s="220">
        <f t="shared" si="78"/>
        <v>392</v>
      </c>
      <c r="AL66" s="221">
        <f t="shared" si="79"/>
        <v>420</v>
      </c>
      <c r="AM66" s="221">
        <f t="shared" si="80"/>
        <v>504</v>
      </c>
      <c r="AN66" s="221">
        <f t="shared" si="81"/>
        <v>582</v>
      </c>
      <c r="AO66" s="222">
        <f t="shared" si="82"/>
        <v>649</v>
      </c>
      <c r="AP66" s="223">
        <f t="shared" si="83"/>
        <v>294</v>
      </c>
      <c r="AQ66" s="224">
        <f t="shared" si="84"/>
        <v>315</v>
      </c>
      <c r="AR66" s="224">
        <f t="shared" si="85"/>
        <v>378</v>
      </c>
      <c r="AS66" s="224">
        <f t="shared" si="86"/>
        <v>436</v>
      </c>
      <c r="AT66" s="225">
        <f t="shared" si="87"/>
        <v>487</v>
      </c>
    </row>
    <row r="67" spans="1:46" x14ac:dyDescent="0.25">
      <c r="A67" s="11"/>
      <c r="B67" s="11" t="s">
        <v>101</v>
      </c>
      <c r="C67" s="220">
        <f t="shared" si="50"/>
        <v>20760</v>
      </c>
      <c r="D67" s="221">
        <f t="shared" si="51"/>
        <v>23760</v>
      </c>
      <c r="E67" s="221">
        <f t="shared" si="52"/>
        <v>26700</v>
      </c>
      <c r="F67" s="221">
        <f t="shared" si="53"/>
        <v>29640</v>
      </c>
      <c r="G67" s="221">
        <f t="shared" si="54"/>
        <v>32040</v>
      </c>
      <c r="H67" s="222">
        <f t="shared" si="55"/>
        <v>34440</v>
      </c>
      <c r="I67" s="217">
        <f>'MTSP Income Limits'!G65</f>
        <v>17300</v>
      </c>
      <c r="J67" s="218">
        <f>'MTSP Income Limits'!H65</f>
        <v>19800</v>
      </c>
      <c r="K67" s="218">
        <f>'MTSP Income Limits'!I65</f>
        <v>22250</v>
      </c>
      <c r="L67" s="218">
        <f>'MTSP Income Limits'!J65</f>
        <v>24700</v>
      </c>
      <c r="M67" s="218">
        <f>'MTSP Income Limits'!K65</f>
        <v>26700</v>
      </c>
      <c r="N67" s="219">
        <f>'MTSP Income Limits'!L65</f>
        <v>28700</v>
      </c>
      <c r="O67" s="220">
        <f t="shared" si="56"/>
        <v>13840</v>
      </c>
      <c r="P67" s="221">
        <f t="shared" si="57"/>
        <v>15840</v>
      </c>
      <c r="Q67" s="221">
        <f t="shared" si="58"/>
        <v>17800</v>
      </c>
      <c r="R67" s="221">
        <f t="shared" si="59"/>
        <v>19760</v>
      </c>
      <c r="S67" s="221">
        <f t="shared" si="60"/>
        <v>21360</v>
      </c>
      <c r="T67" s="222">
        <f t="shared" si="61"/>
        <v>22960</v>
      </c>
      <c r="U67" s="223">
        <f t="shared" si="62"/>
        <v>10380</v>
      </c>
      <c r="V67" s="224">
        <f t="shared" si="63"/>
        <v>11880</v>
      </c>
      <c r="W67" s="224">
        <f t="shared" si="64"/>
        <v>13350</v>
      </c>
      <c r="X67" s="224">
        <f t="shared" si="65"/>
        <v>14820</v>
      </c>
      <c r="Y67" s="224">
        <f t="shared" si="66"/>
        <v>16020</v>
      </c>
      <c r="Z67" s="224">
        <f t="shared" si="67"/>
        <v>17220</v>
      </c>
      <c r="AA67" s="220">
        <f t="shared" si="68"/>
        <v>518</v>
      </c>
      <c r="AB67" s="221">
        <f t="shared" si="69"/>
        <v>555</v>
      </c>
      <c r="AC67" s="221">
        <f t="shared" si="70"/>
        <v>667</v>
      </c>
      <c r="AD67" s="221">
        <f t="shared" si="71"/>
        <v>770</v>
      </c>
      <c r="AE67" s="222">
        <f t="shared" si="72"/>
        <v>860</v>
      </c>
      <c r="AF67" s="223">
        <f t="shared" si="73"/>
        <v>432</v>
      </c>
      <c r="AG67" s="224">
        <f t="shared" si="74"/>
        <v>463</v>
      </c>
      <c r="AH67" s="224">
        <f t="shared" si="75"/>
        <v>556</v>
      </c>
      <c r="AI67" s="224">
        <f t="shared" si="76"/>
        <v>642</v>
      </c>
      <c r="AJ67" s="225">
        <f t="shared" si="77"/>
        <v>717</v>
      </c>
      <c r="AK67" s="220">
        <f t="shared" si="78"/>
        <v>345</v>
      </c>
      <c r="AL67" s="221">
        <f t="shared" si="79"/>
        <v>370</v>
      </c>
      <c r="AM67" s="221">
        <f t="shared" si="80"/>
        <v>444</v>
      </c>
      <c r="AN67" s="221">
        <f t="shared" si="81"/>
        <v>513</v>
      </c>
      <c r="AO67" s="222">
        <f t="shared" si="82"/>
        <v>573</v>
      </c>
      <c r="AP67" s="223">
        <f t="shared" si="83"/>
        <v>259</v>
      </c>
      <c r="AQ67" s="224">
        <f t="shared" si="84"/>
        <v>277</v>
      </c>
      <c r="AR67" s="224">
        <f t="shared" si="85"/>
        <v>333</v>
      </c>
      <c r="AS67" s="224">
        <f t="shared" si="86"/>
        <v>385</v>
      </c>
      <c r="AT67" s="225">
        <f t="shared" si="87"/>
        <v>430</v>
      </c>
    </row>
    <row r="68" spans="1:46" x14ac:dyDescent="0.25">
      <c r="A68" s="11"/>
      <c r="B68" s="11" t="s">
        <v>102</v>
      </c>
      <c r="C68" s="220">
        <f t="shared" si="50"/>
        <v>27000</v>
      </c>
      <c r="D68" s="221">
        <f t="shared" si="51"/>
        <v>30840</v>
      </c>
      <c r="E68" s="221">
        <f t="shared" si="52"/>
        <v>34680</v>
      </c>
      <c r="F68" s="221">
        <f t="shared" si="53"/>
        <v>38520</v>
      </c>
      <c r="G68" s="221">
        <f t="shared" si="54"/>
        <v>41640</v>
      </c>
      <c r="H68" s="222">
        <f t="shared" si="55"/>
        <v>44700</v>
      </c>
      <c r="I68" s="217">
        <f>'MTSP Income Limits'!G66</f>
        <v>22500</v>
      </c>
      <c r="J68" s="218">
        <f>'MTSP Income Limits'!H66</f>
        <v>25700</v>
      </c>
      <c r="K68" s="218">
        <f>'MTSP Income Limits'!I66</f>
        <v>28900</v>
      </c>
      <c r="L68" s="218">
        <f>'MTSP Income Limits'!J66</f>
        <v>32100</v>
      </c>
      <c r="M68" s="218">
        <f>'MTSP Income Limits'!K66</f>
        <v>34700</v>
      </c>
      <c r="N68" s="219">
        <f>'MTSP Income Limits'!L66</f>
        <v>37250</v>
      </c>
      <c r="O68" s="220">
        <f t="shared" si="56"/>
        <v>18000</v>
      </c>
      <c r="P68" s="221">
        <f t="shared" si="57"/>
        <v>20560</v>
      </c>
      <c r="Q68" s="221">
        <f t="shared" si="58"/>
        <v>23120</v>
      </c>
      <c r="R68" s="221">
        <f t="shared" si="59"/>
        <v>25680</v>
      </c>
      <c r="S68" s="221">
        <f t="shared" si="60"/>
        <v>27760</v>
      </c>
      <c r="T68" s="222">
        <f t="shared" si="61"/>
        <v>29800</v>
      </c>
      <c r="U68" s="223">
        <f t="shared" si="62"/>
        <v>13500</v>
      </c>
      <c r="V68" s="224">
        <f t="shared" si="63"/>
        <v>15420</v>
      </c>
      <c r="W68" s="224">
        <f t="shared" si="64"/>
        <v>17340</v>
      </c>
      <c r="X68" s="224">
        <f t="shared" si="65"/>
        <v>19260</v>
      </c>
      <c r="Y68" s="224">
        <f t="shared" si="66"/>
        <v>20820</v>
      </c>
      <c r="Z68" s="224">
        <f t="shared" si="67"/>
        <v>22350</v>
      </c>
      <c r="AA68" s="220">
        <f t="shared" si="68"/>
        <v>674</v>
      </c>
      <c r="AB68" s="221">
        <f t="shared" si="69"/>
        <v>722</v>
      </c>
      <c r="AC68" s="221">
        <f t="shared" si="70"/>
        <v>866</v>
      </c>
      <c r="AD68" s="221">
        <f t="shared" si="71"/>
        <v>1002</v>
      </c>
      <c r="AE68" s="222">
        <f t="shared" si="72"/>
        <v>1117</v>
      </c>
      <c r="AF68" s="223">
        <f t="shared" si="73"/>
        <v>562</v>
      </c>
      <c r="AG68" s="224">
        <f t="shared" si="74"/>
        <v>602</v>
      </c>
      <c r="AH68" s="224">
        <f t="shared" si="75"/>
        <v>722</v>
      </c>
      <c r="AI68" s="224">
        <f t="shared" si="76"/>
        <v>835</v>
      </c>
      <c r="AJ68" s="225">
        <f t="shared" si="77"/>
        <v>931</v>
      </c>
      <c r="AK68" s="220">
        <f t="shared" si="78"/>
        <v>449</v>
      </c>
      <c r="AL68" s="221">
        <f t="shared" si="79"/>
        <v>481</v>
      </c>
      <c r="AM68" s="221">
        <f t="shared" si="80"/>
        <v>577</v>
      </c>
      <c r="AN68" s="221">
        <f t="shared" si="81"/>
        <v>668</v>
      </c>
      <c r="AO68" s="222">
        <f t="shared" si="82"/>
        <v>744</v>
      </c>
      <c r="AP68" s="223">
        <f t="shared" si="83"/>
        <v>337</v>
      </c>
      <c r="AQ68" s="224">
        <f t="shared" si="84"/>
        <v>361</v>
      </c>
      <c r="AR68" s="224">
        <f t="shared" si="85"/>
        <v>433</v>
      </c>
      <c r="AS68" s="224">
        <f t="shared" si="86"/>
        <v>501</v>
      </c>
      <c r="AT68" s="225">
        <f t="shared" si="87"/>
        <v>558</v>
      </c>
    </row>
    <row r="69" spans="1:46" x14ac:dyDescent="0.25">
      <c r="A69" s="11"/>
      <c r="B69" s="11" t="s">
        <v>103</v>
      </c>
      <c r="C69" s="220">
        <f t="shared" si="50"/>
        <v>20760</v>
      </c>
      <c r="D69" s="221">
        <f t="shared" si="51"/>
        <v>23760</v>
      </c>
      <c r="E69" s="221">
        <f t="shared" si="52"/>
        <v>26700</v>
      </c>
      <c r="F69" s="221">
        <f t="shared" si="53"/>
        <v>29640</v>
      </c>
      <c r="G69" s="221">
        <f t="shared" si="54"/>
        <v>32040</v>
      </c>
      <c r="H69" s="222">
        <f t="shared" si="55"/>
        <v>34440</v>
      </c>
      <c r="I69" s="217">
        <f>'MTSP Income Limits'!G67</f>
        <v>17300</v>
      </c>
      <c r="J69" s="218">
        <f>'MTSP Income Limits'!H67</f>
        <v>19800</v>
      </c>
      <c r="K69" s="218">
        <f>'MTSP Income Limits'!I67</f>
        <v>22250</v>
      </c>
      <c r="L69" s="218">
        <f>'MTSP Income Limits'!J67</f>
        <v>24700</v>
      </c>
      <c r="M69" s="218">
        <f>'MTSP Income Limits'!K67</f>
        <v>26700</v>
      </c>
      <c r="N69" s="219">
        <f>'MTSP Income Limits'!L67</f>
        <v>28700</v>
      </c>
      <c r="O69" s="220">
        <f t="shared" si="56"/>
        <v>13840</v>
      </c>
      <c r="P69" s="221">
        <f t="shared" si="57"/>
        <v>15840</v>
      </c>
      <c r="Q69" s="221">
        <f t="shared" si="58"/>
        <v>17800</v>
      </c>
      <c r="R69" s="221">
        <f t="shared" si="59"/>
        <v>19760</v>
      </c>
      <c r="S69" s="221">
        <f t="shared" si="60"/>
        <v>21360</v>
      </c>
      <c r="T69" s="222">
        <f t="shared" si="61"/>
        <v>22960</v>
      </c>
      <c r="U69" s="223">
        <f t="shared" si="62"/>
        <v>10380</v>
      </c>
      <c r="V69" s="224">
        <f t="shared" si="63"/>
        <v>11880</v>
      </c>
      <c r="W69" s="224">
        <f t="shared" si="64"/>
        <v>13350</v>
      </c>
      <c r="X69" s="224">
        <f t="shared" si="65"/>
        <v>14820</v>
      </c>
      <c r="Y69" s="224">
        <f t="shared" si="66"/>
        <v>16020</v>
      </c>
      <c r="Z69" s="224">
        <f t="shared" si="67"/>
        <v>17220</v>
      </c>
      <c r="AA69" s="220">
        <f t="shared" si="68"/>
        <v>518</v>
      </c>
      <c r="AB69" s="221">
        <f t="shared" si="69"/>
        <v>555</v>
      </c>
      <c r="AC69" s="221">
        <f t="shared" si="70"/>
        <v>667</v>
      </c>
      <c r="AD69" s="221">
        <f t="shared" si="71"/>
        <v>770</v>
      </c>
      <c r="AE69" s="222">
        <f t="shared" si="72"/>
        <v>860</v>
      </c>
      <c r="AF69" s="223">
        <f t="shared" si="73"/>
        <v>432</v>
      </c>
      <c r="AG69" s="224">
        <f t="shared" si="74"/>
        <v>463</v>
      </c>
      <c r="AH69" s="224">
        <f t="shared" si="75"/>
        <v>556</v>
      </c>
      <c r="AI69" s="224">
        <f t="shared" si="76"/>
        <v>642</v>
      </c>
      <c r="AJ69" s="225">
        <f t="shared" si="77"/>
        <v>717</v>
      </c>
      <c r="AK69" s="220">
        <f t="shared" si="78"/>
        <v>345</v>
      </c>
      <c r="AL69" s="221">
        <f t="shared" si="79"/>
        <v>370</v>
      </c>
      <c r="AM69" s="221">
        <f t="shared" si="80"/>
        <v>444</v>
      </c>
      <c r="AN69" s="221">
        <f t="shared" si="81"/>
        <v>513</v>
      </c>
      <c r="AO69" s="222">
        <f t="shared" si="82"/>
        <v>573</v>
      </c>
      <c r="AP69" s="223">
        <f t="shared" si="83"/>
        <v>259</v>
      </c>
      <c r="AQ69" s="224">
        <f t="shared" si="84"/>
        <v>277</v>
      </c>
      <c r="AR69" s="224">
        <f t="shared" si="85"/>
        <v>333</v>
      </c>
      <c r="AS69" s="224">
        <f t="shared" si="86"/>
        <v>385</v>
      </c>
      <c r="AT69" s="225">
        <f t="shared" si="87"/>
        <v>430</v>
      </c>
    </row>
    <row r="70" spans="1:46" x14ac:dyDescent="0.25">
      <c r="A70" s="11"/>
      <c r="B70" s="11" t="s">
        <v>104</v>
      </c>
      <c r="C70" s="220">
        <f t="shared" si="50"/>
        <v>20760</v>
      </c>
      <c r="D70" s="221">
        <f t="shared" si="51"/>
        <v>23760</v>
      </c>
      <c r="E70" s="221">
        <f t="shared" si="52"/>
        <v>26700</v>
      </c>
      <c r="F70" s="221">
        <f t="shared" si="53"/>
        <v>29640</v>
      </c>
      <c r="G70" s="221">
        <f t="shared" si="54"/>
        <v>32040</v>
      </c>
      <c r="H70" s="222">
        <f t="shared" si="55"/>
        <v>34440</v>
      </c>
      <c r="I70" s="217">
        <f>'MTSP Income Limits'!G68</f>
        <v>17300</v>
      </c>
      <c r="J70" s="218">
        <f>'MTSP Income Limits'!H68</f>
        <v>19800</v>
      </c>
      <c r="K70" s="218">
        <f>'MTSP Income Limits'!I68</f>
        <v>22250</v>
      </c>
      <c r="L70" s="218">
        <f>'MTSP Income Limits'!J68</f>
        <v>24700</v>
      </c>
      <c r="M70" s="218">
        <f>'MTSP Income Limits'!K68</f>
        <v>26700</v>
      </c>
      <c r="N70" s="219">
        <f>'MTSP Income Limits'!L68</f>
        <v>28700</v>
      </c>
      <c r="O70" s="220">
        <f t="shared" si="56"/>
        <v>13840</v>
      </c>
      <c r="P70" s="221">
        <f t="shared" si="57"/>
        <v>15840</v>
      </c>
      <c r="Q70" s="221">
        <f t="shared" si="58"/>
        <v>17800</v>
      </c>
      <c r="R70" s="221">
        <f t="shared" si="59"/>
        <v>19760</v>
      </c>
      <c r="S70" s="221">
        <f t="shared" si="60"/>
        <v>21360</v>
      </c>
      <c r="T70" s="222">
        <f t="shared" si="61"/>
        <v>22960</v>
      </c>
      <c r="U70" s="223">
        <f t="shared" si="62"/>
        <v>10380</v>
      </c>
      <c r="V70" s="224">
        <f t="shared" si="63"/>
        <v>11880</v>
      </c>
      <c r="W70" s="224">
        <f t="shared" si="64"/>
        <v>13350</v>
      </c>
      <c r="X70" s="224">
        <f t="shared" si="65"/>
        <v>14820</v>
      </c>
      <c r="Y70" s="224">
        <f t="shared" si="66"/>
        <v>16020</v>
      </c>
      <c r="Z70" s="224">
        <f t="shared" si="67"/>
        <v>17220</v>
      </c>
      <c r="AA70" s="220">
        <f t="shared" si="68"/>
        <v>518</v>
      </c>
      <c r="AB70" s="221">
        <f t="shared" si="69"/>
        <v>555</v>
      </c>
      <c r="AC70" s="221">
        <f t="shared" si="70"/>
        <v>667</v>
      </c>
      <c r="AD70" s="221">
        <f t="shared" si="71"/>
        <v>770</v>
      </c>
      <c r="AE70" s="222">
        <f t="shared" si="72"/>
        <v>860</v>
      </c>
      <c r="AF70" s="223">
        <f t="shared" si="73"/>
        <v>432</v>
      </c>
      <c r="AG70" s="224">
        <f t="shared" si="74"/>
        <v>463</v>
      </c>
      <c r="AH70" s="224">
        <f t="shared" si="75"/>
        <v>556</v>
      </c>
      <c r="AI70" s="224">
        <f t="shared" si="76"/>
        <v>642</v>
      </c>
      <c r="AJ70" s="225">
        <f t="shared" si="77"/>
        <v>717</v>
      </c>
      <c r="AK70" s="220">
        <f t="shared" si="78"/>
        <v>345</v>
      </c>
      <c r="AL70" s="221">
        <f t="shared" si="79"/>
        <v>370</v>
      </c>
      <c r="AM70" s="221">
        <f t="shared" si="80"/>
        <v>444</v>
      </c>
      <c r="AN70" s="221">
        <f t="shared" si="81"/>
        <v>513</v>
      </c>
      <c r="AO70" s="222">
        <f t="shared" si="82"/>
        <v>573</v>
      </c>
      <c r="AP70" s="223">
        <f t="shared" si="83"/>
        <v>259</v>
      </c>
      <c r="AQ70" s="224">
        <f t="shared" si="84"/>
        <v>277</v>
      </c>
      <c r="AR70" s="224">
        <f t="shared" si="85"/>
        <v>333</v>
      </c>
      <c r="AS70" s="224">
        <f t="shared" si="86"/>
        <v>385</v>
      </c>
      <c r="AT70" s="225">
        <f t="shared" si="87"/>
        <v>430</v>
      </c>
    </row>
    <row r="71" spans="1:46" x14ac:dyDescent="0.25">
      <c r="A71" s="11"/>
      <c r="B71" s="11" t="s">
        <v>105</v>
      </c>
      <c r="C71" s="220">
        <f t="shared" si="50"/>
        <v>25440</v>
      </c>
      <c r="D71" s="221">
        <f t="shared" si="51"/>
        <v>29040</v>
      </c>
      <c r="E71" s="221">
        <f t="shared" si="52"/>
        <v>32700</v>
      </c>
      <c r="F71" s="221">
        <f t="shared" si="53"/>
        <v>36300</v>
      </c>
      <c r="G71" s="221">
        <f t="shared" si="54"/>
        <v>39240</v>
      </c>
      <c r="H71" s="222">
        <f t="shared" si="55"/>
        <v>42120</v>
      </c>
      <c r="I71" s="217">
        <f>'MTSP Income Limits'!G69</f>
        <v>21200</v>
      </c>
      <c r="J71" s="218">
        <f>'MTSP Income Limits'!H69</f>
        <v>24200</v>
      </c>
      <c r="K71" s="218">
        <f>'MTSP Income Limits'!I69</f>
        <v>27250</v>
      </c>
      <c r="L71" s="218">
        <f>'MTSP Income Limits'!J69</f>
        <v>30250</v>
      </c>
      <c r="M71" s="218">
        <f>'MTSP Income Limits'!K69</f>
        <v>32700</v>
      </c>
      <c r="N71" s="219">
        <f>'MTSP Income Limits'!L69</f>
        <v>35100</v>
      </c>
      <c r="O71" s="220">
        <f t="shared" si="56"/>
        <v>16960</v>
      </c>
      <c r="P71" s="221">
        <f t="shared" si="57"/>
        <v>19360</v>
      </c>
      <c r="Q71" s="221">
        <f t="shared" si="58"/>
        <v>21800</v>
      </c>
      <c r="R71" s="221">
        <f t="shared" si="59"/>
        <v>24200</v>
      </c>
      <c r="S71" s="221">
        <f t="shared" si="60"/>
        <v>26160</v>
      </c>
      <c r="T71" s="222">
        <f t="shared" si="61"/>
        <v>28080</v>
      </c>
      <c r="U71" s="223">
        <f t="shared" si="62"/>
        <v>12720</v>
      </c>
      <c r="V71" s="224">
        <f t="shared" si="63"/>
        <v>14520</v>
      </c>
      <c r="W71" s="224">
        <f t="shared" si="64"/>
        <v>16350</v>
      </c>
      <c r="X71" s="224">
        <f t="shared" si="65"/>
        <v>18150</v>
      </c>
      <c r="Y71" s="224">
        <f t="shared" si="66"/>
        <v>19620</v>
      </c>
      <c r="Z71" s="224">
        <f t="shared" si="67"/>
        <v>21060</v>
      </c>
      <c r="AA71" s="220">
        <f t="shared" si="68"/>
        <v>636</v>
      </c>
      <c r="AB71" s="221">
        <f t="shared" si="69"/>
        <v>680</v>
      </c>
      <c r="AC71" s="221">
        <f t="shared" si="70"/>
        <v>817</v>
      </c>
      <c r="AD71" s="221">
        <f t="shared" si="71"/>
        <v>943</v>
      </c>
      <c r="AE71" s="222">
        <f t="shared" si="72"/>
        <v>1052</v>
      </c>
      <c r="AF71" s="223">
        <f t="shared" si="73"/>
        <v>530</v>
      </c>
      <c r="AG71" s="224">
        <f t="shared" si="74"/>
        <v>567</v>
      </c>
      <c r="AH71" s="224">
        <f t="shared" si="75"/>
        <v>681</v>
      </c>
      <c r="AI71" s="224">
        <f t="shared" si="76"/>
        <v>786</v>
      </c>
      <c r="AJ71" s="225">
        <f t="shared" si="77"/>
        <v>877</v>
      </c>
      <c r="AK71" s="220">
        <f t="shared" si="78"/>
        <v>424</v>
      </c>
      <c r="AL71" s="221">
        <f t="shared" si="79"/>
        <v>453</v>
      </c>
      <c r="AM71" s="221">
        <f t="shared" si="80"/>
        <v>544</v>
      </c>
      <c r="AN71" s="221">
        <f t="shared" si="81"/>
        <v>628</v>
      </c>
      <c r="AO71" s="222">
        <f t="shared" si="82"/>
        <v>701</v>
      </c>
      <c r="AP71" s="223">
        <f t="shared" si="83"/>
        <v>318</v>
      </c>
      <c r="AQ71" s="224">
        <f t="shared" si="84"/>
        <v>340</v>
      </c>
      <c r="AR71" s="224">
        <f t="shared" si="85"/>
        <v>408</v>
      </c>
      <c r="AS71" s="224">
        <f t="shared" si="86"/>
        <v>471</v>
      </c>
      <c r="AT71" s="225">
        <f t="shared" si="87"/>
        <v>526</v>
      </c>
    </row>
    <row r="72" spans="1:46" x14ac:dyDescent="0.25">
      <c r="A72" s="11"/>
      <c r="B72" s="11" t="s">
        <v>106</v>
      </c>
      <c r="C72" s="220">
        <f t="shared" si="50"/>
        <v>21060</v>
      </c>
      <c r="D72" s="221">
        <f t="shared" si="51"/>
        <v>24060</v>
      </c>
      <c r="E72" s="221">
        <f t="shared" si="52"/>
        <v>27060</v>
      </c>
      <c r="F72" s="221">
        <f t="shared" si="53"/>
        <v>30060</v>
      </c>
      <c r="G72" s="221">
        <f t="shared" si="54"/>
        <v>32520</v>
      </c>
      <c r="H72" s="222">
        <f t="shared" si="55"/>
        <v>34920</v>
      </c>
      <c r="I72" s="217">
        <f>'MTSP Income Limits'!G70</f>
        <v>17550</v>
      </c>
      <c r="J72" s="218">
        <f>'MTSP Income Limits'!H70</f>
        <v>20050</v>
      </c>
      <c r="K72" s="218">
        <f>'MTSP Income Limits'!I70</f>
        <v>22550</v>
      </c>
      <c r="L72" s="218">
        <f>'MTSP Income Limits'!J70</f>
        <v>25050</v>
      </c>
      <c r="M72" s="218">
        <f>'MTSP Income Limits'!K70</f>
        <v>27100</v>
      </c>
      <c r="N72" s="219">
        <f>'MTSP Income Limits'!L70</f>
        <v>29100</v>
      </c>
      <c r="O72" s="220">
        <f t="shared" si="56"/>
        <v>14040</v>
      </c>
      <c r="P72" s="221">
        <f t="shared" si="57"/>
        <v>16040</v>
      </c>
      <c r="Q72" s="221">
        <f t="shared" si="58"/>
        <v>18040</v>
      </c>
      <c r="R72" s="221">
        <f t="shared" si="59"/>
        <v>20040</v>
      </c>
      <c r="S72" s="221">
        <f t="shared" si="60"/>
        <v>21680</v>
      </c>
      <c r="T72" s="222">
        <f t="shared" si="61"/>
        <v>23280</v>
      </c>
      <c r="U72" s="223">
        <f t="shared" si="62"/>
        <v>10530</v>
      </c>
      <c r="V72" s="224">
        <f t="shared" si="63"/>
        <v>12030</v>
      </c>
      <c r="W72" s="224">
        <f t="shared" si="64"/>
        <v>13530</v>
      </c>
      <c r="X72" s="224">
        <f t="shared" si="65"/>
        <v>15030</v>
      </c>
      <c r="Y72" s="224">
        <f t="shared" si="66"/>
        <v>16260</v>
      </c>
      <c r="Z72" s="224">
        <f t="shared" si="67"/>
        <v>17460</v>
      </c>
      <c r="AA72" s="220">
        <f t="shared" si="68"/>
        <v>525</v>
      </c>
      <c r="AB72" s="221">
        <f t="shared" si="69"/>
        <v>564</v>
      </c>
      <c r="AC72" s="221">
        <f t="shared" si="70"/>
        <v>675</v>
      </c>
      <c r="AD72" s="221">
        <f t="shared" si="71"/>
        <v>781</v>
      </c>
      <c r="AE72" s="222">
        <f t="shared" si="72"/>
        <v>872</v>
      </c>
      <c r="AF72" s="223">
        <f t="shared" si="73"/>
        <v>438</v>
      </c>
      <c r="AG72" s="224">
        <f t="shared" si="74"/>
        <v>470</v>
      </c>
      <c r="AH72" s="224">
        <f t="shared" si="75"/>
        <v>563</v>
      </c>
      <c r="AI72" s="224">
        <f t="shared" si="76"/>
        <v>651</v>
      </c>
      <c r="AJ72" s="225">
        <f t="shared" si="77"/>
        <v>727</v>
      </c>
      <c r="AK72" s="220">
        <f t="shared" si="78"/>
        <v>350</v>
      </c>
      <c r="AL72" s="221">
        <f t="shared" si="79"/>
        <v>376</v>
      </c>
      <c r="AM72" s="221">
        <f t="shared" si="80"/>
        <v>450</v>
      </c>
      <c r="AN72" s="221">
        <f t="shared" si="81"/>
        <v>520</v>
      </c>
      <c r="AO72" s="222">
        <f t="shared" si="82"/>
        <v>581</v>
      </c>
      <c r="AP72" s="223">
        <f t="shared" si="83"/>
        <v>262</v>
      </c>
      <c r="AQ72" s="224">
        <f t="shared" si="84"/>
        <v>282</v>
      </c>
      <c r="AR72" s="224">
        <f t="shared" si="85"/>
        <v>337</v>
      </c>
      <c r="AS72" s="224">
        <f t="shared" si="86"/>
        <v>390</v>
      </c>
      <c r="AT72" s="225">
        <f t="shared" si="87"/>
        <v>436</v>
      </c>
    </row>
    <row r="73" spans="1:46" x14ac:dyDescent="0.25">
      <c r="A73" s="11"/>
      <c r="B73" s="11" t="s">
        <v>107</v>
      </c>
      <c r="C73" s="220">
        <f t="shared" ref="C73:C108" si="88">I73*1.2</f>
        <v>25080</v>
      </c>
      <c r="D73" s="221">
        <f t="shared" ref="D73:D108" si="89">J73*1.2</f>
        <v>28620</v>
      </c>
      <c r="E73" s="221">
        <f t="shared" ref="E73:E108" si="90">K73*1.2</f>
        <v>32220</v>
      </c>
      <c r="F73" s="221">
        <f t="shared" ref="F73:F108" si="91">L73*1.2</f>
        <v>35760</v>
      </c>
      <c r="G73" s="221">
        <f t="shared" ref="G73:G108" si="92">M73*1.2</f>
        <v>38640</v>
      </c>
      <c r="H73" s="222">
        <f t="shared" ref="H73:H108" si="93">N73*1.2</f>
        <v>41520</v>
      </c>
      <c r="I73" s="217">
        <f>'MTSP Income Limits'!G71</f>
        <v>20900</v>
      </c>
      <c r="J73" s="218">
        <f>'MTSP Income Limits'!H71</f>
        <v>23850</v>
      </c>
      <c r="K73" s="218">
        <f>'MTSP Income Limits'!I71</f>
        <v>26850</v>
      </c>
      <c r="L73" s="218">
        <f>'MTSP Income Limits'!J71</f>
        <v>29800</v>
      </c>
      <c r="M73" s="218">
        <f>'MTSP Income Limits'!K71</f>
        <v>32200</v>
      </c>
      <c r="N73" s="219">
        <f>'MTSP Income Limits'!L71</f>
        <v>34600</v>
      </c>
      <c r="O73" s="220">
        <f t="shared" ref="O73:O108" si="94">I73*0.8</f>
        <v>16720</v>
      </c>
      <c r="P73" s="221">
        <f t="shared" ref="P73:P108" si="95">J73*0.8</f>
        <v>19080</v>
      </c>
      <c r="Q73" s="221">
        <f t="shared" ref="Q73:Q108" si="96">K73*0.8</f>
        <v>21480</v>
      </c>
      <c r="R73" s="221">
        <f t="shared" ref="R73:R108" si="97">L73*0.8</f>
        <v>23840</v>
      </c>
      <c r="S73" s="221">
        <f t="shared" ref="S73:S108" si="98">M73*0.8</f>
        <v>25760</v>
      </c>
      <c r="T73" s="222">
        <f t="shared" ref="T73:T108" si="99">N73*0.8</f>
        <v>27680</v>
      </c>
      <c r="U73" s="223">
        <f t="shared" ref="U73:U108" si="100">I73*0.6</f>
        <v>12540</v>
      </c>
      <c r="V73" s="224">
        <f t="shared" ref="V73:V108" si="101">J73*0.6</f>
        <v>14310</v>
      </c>
      <c r="W73" s="224">
        <f t="shared" ref="W73:W108" si="102">K73*0.6</f>
        <v>16110</v>
      </c>
      <c r="X73" s="224">
        <f t="shared" ref="X73:X108" si="103">L73*0.6</f>
        <v>17880</v>
      </c>
      <c r="Y73" s="224">
        <f t="shared" ref="Y73:Y108" si="104">M73*0.6</f>
        <v>19320</v>
      </c>
      <c r="Z73" s="224">
        <f t="shared" ref="Z73:Z108" si="105">N73*0.6</f>
        <v>20760</v>
      </c>
      <c r="AA73" s="220">
        <f t="shared" ref="AA73:AA108" si="106">ROUNDDOWN(AF73*1.2,0)</f>
        <v>626</v>
      </c>
      <c r="AB73" s="221">
        <f t="shared" ref="AB73:AB108" si="107">ROUNDDOWN(AG73*1.2,0)</f>
        <v>670</v>
      </c>
      <c r="AC73" s="221">
        <f t="shared" ref="AC73:AC108" si="108">ROUNDDOWN(AH73*1.2,0)</f>
        <v>805</v>
      </c>
      <c r="AD73" s="221">
        <f t="shared" ref="AD73:AD108" si="109">ROUNDDOWN(AI73*1.2,0)</f>
        <v>930</v>
      </c>
      <c r="AE73" s="222">
        <f t="shared" ref="AE73:AE108" si="110">ROUNDDOWN(AJ73*1.2,0)</f>
        <v>1038</v>
      </c>
      <c r="AF73" s="223">
        <f t="shared" ref="AF73:AF108" si="111">ROUNDDOWN(I73*0.3/12,0)</f>
        <v>522</v>
      </c>
      <c r="AG73" s="224">
        <f t="shared" ref="AG73:AG108" si="112">ROUNDDOWN(((I73+J73)/2)*0.3/12,0)</f>
        <v>559</v>
      </c>
      <c r="AH73" s="224">
        <f t="shared" ref="AH73:AH108" si="113">ROUNDDOWN(K73*0.3/12,0)</f>
        <v>671</v>
      </c>
      <c r="AI73" s="224">
        <f t="shared" ref="AI73:AI108" si="114">ROUNDDOWN(((L73+M73)/2)*0.3/12,0)</f>
        <v>775</v>
      </c>
      <c r="AJ73" s="225">
        <f t="shared" ref="AJ73:AJ108" si="115">ROUNDDOWN(N73*0.3/12,0)</f>
        <v>865</v>
      </c>
      <c r="AK73" s="220">
        <f t="shared" ref="AK73:AK108" si="116">ROUNDDOWN(AF73*0.8,0)</f>
        <v>417</v>
      </c>
      <c r="AL73" s="221">
        <f t="shared" ref="AL73:AL108" si="117">ROUNDDOWN(AG73*0.8,0)</f>
        <v>447</v>
      </c>
      <c r="AM73" s="221">
        <f t="shared" ref="AM73:AM108" si="118">ROUNDDOWN(AH73*0.8,0)</f>
        <v>536</v>
      </c>
      <c r="AN73" s="221">
        <f t="shared" ref="AN73:AN108" si="119">ROUNDDOWN(AI73*0.8,0)</f>
        <v>620</v>
      </c>
      <c r="AO73" s="222">
        <f t="shared" ref="AO73:AO108" si="120">ROUNDDOWN(AJ73*0.8,0)</f>
        <v>692</v>
      </c>
      <c r="AP73" s="223">
        <f t="shared" ref="AP73:AP108" si="121">ROUNDDOWN(AF73*0.6,0)</f>
        <v>313</v>
      </c>
      <c r="AQ73" s="224">
        <f t="shared" ref="AQ73:AQ108" si="122">ROUNDDOWN(AG73*0.6,0)</f>
        <v>335</v>
      </c>
      <c r="AR73" s="224">
        <f t="shared" ref="AR73:AR108" si="123">ROUNDDOWN(AH73*0.6,0)</f>
        <v>402</v>
      </c>
      <c r="AS73" s="224">
        <f t="shared" ref="AS73:AS108" si="124">ROUNDDOWN(AI73*0.6,0)</f>
        <v>465</v>
      </c>
      <c r="AT73" s="225">
        <f t="shared" ref="AT73:AT108" si="125">ROUNDDOWN(AJ73*0.6,0)</f>
        <v>519</v>
      </c>
    </row>
    <row r="74" spans="1:46" x14ac:dyDescent="0.25">
      <c r="A74" s="11"/>
      <c r="B74" s="11" t="s">
        <v>108</v>
      </c>
      <c r="C74" s="220">
        <f t="shared" si="88"/>
        <v>20760</v>
      </c>
      <c r="D74" s="221">
        <f t="shared" si="89"/>
        <v>23760</v>
      </c>
      <c r="E74" s="221">
        <f t="shared" si="90"/>
        <v>26700</v>
      </c>
      <c r="F74" s="221">
        <f t="shared" si="91"/>
        <v>29640</v>
      </c>
      <c r="G74" s="221">
        <f t="shared" si="92"/>
        <v>32040</v>
      </c>
      <c r="H74" s="222">
        <f t="shared" si="93"/>
        <v>34440</v>
      </c>
      <c r="I74" s="217">
        <f>'MTSP Income Limits'!G72</f>
        <v>17300</v>
      </c>
      <c r="J74" s="218">
        <f>'MTSP Income Limits'!H72</f>
        <v>19800</v>
      </c>
      <c r="K74" s="218">
        <f>'MTSP Income Limits'!I72</f>
        <v>22250</v>
      </c>
      <c r="L74" s="218">
        <f>'MTSP Income Limits'!J72</f>
        <v>24700</v>
      </c>
      <c r="M74" s="218">
        <f>'MTSP Income Limits'!K72</f>
        <v>26700</v>
      </c>
      <c r="N74" s="219">
        <f>'MTSP Income Limits'!L72</f>
        <v>28700</v>
      </c>
      <c r="O74" s="220">
        <f t="shared" si="94"/>
        <v>13840</v>
      </c>
      <c r="P74" s="221">
        <f t="shared" si="95"/>
        <v>15840</v>
      </c>
      <c r="Q74" s="221">
        <f t="shared" si="96"/>
        <v>17800</v>
      </c>
      <c r="R74" s="221">
        <f t="shared" si="97"/>
        <v>19760</v>
      </c>
      <c r="S74" s="221">
        <f t="shared" si="98"/>
        <v>21360</v>
      </c>
      <c r="T74" s="222">
        <f t="shared" si="99"/>
        <v>22960</v>
      </c>
      <c r="U74" s="223">
        <f t="shared" si="100"/>
        <v>10380</v>
      </c>
      <c r="V74" s="224">
        <f t="shared" si="101"/>
        <v>11880</v>
      </c>
      <c r="W74" s="224">
        <f t="shared" si="102"/>
        <v>13350</v>
      </c>
      <c r="X74" s="224">
        <f t="shared" si="103"/>
        <v>14820</v>
      </c>
      <c r="Y74" s="224">
        <f t="shared" si="104"/>
        <v>16020</v>
      </c>
      <c r="Z74" s="224">
        <f t="shared" si="105"/>
        <v>17220</v>
      </c>
      <c r="AA74" s="220">
        <f t="shared" si="106"/>
        <v>518</v>
      </c>
      <c r="AB74" s="221">
        <f t="shared" si="107"/>
        <v>555</v>
      </c>
      <c r="AC74" s="221">
        <f t="shared" si="108"/>
        <v>667</v>
      </c>
      <c r="AD74" s="221">
        <f t="shared" si="109"/>
        <v>770</v>
      </c>
      <c r="AE74" s="222">
        <f t="shared" si="110"/>
        <v>860</v>
      </c>
      <c r="AF74" s="223">
        <f t="shared" si="111"/>
        <v>432</v>
      </c>
      <c r="AG74" s="224">
        <f t="shared" si="112"/>
        <v>463</v>
      </c>
      <c r="AH74" s="224">
        <f t="shared" si="113"/>
        <v>556</v>
      </c>
      <c r="AI74" s="224">
        <f t="shared" si="114"/>
        <v>642</v>
      </c>
      <c r="AJ74" s="225">
        <f t="shared" si="115"/>
        <v>717</v>
      </c>
      <c r="AK74" s="220">
        <f t="shared" si="116"/>
        <v>345</v>
      </c>
      <c r="AL74" s="221">
        <f t="shared" si="117"/>
        <v>370</v>
      </c>
      <c r="AM74" s="221">
        <f t="shared" si="118"/>
        <v>444</v>
      </c>
      <c r="AN74" s="221">
        <f t="shared" si="119"/>
        <v>513</v>
      </c>
      <c r="AO74" s="222">
        <f t="shared" si="120"/>
        <v>573</v>
      </c>
      <c r="AP74" s="223">
        <f t="shared" si="121"/>
        <v>259</v>
      </c>
      <c r="AQ74" s="224">
        <f t="shared" si="122"/>
        <v>277</v>
      </c>
      <c r="AR74" s="224">
        <f t="shared" si="123"/>
        <v>333</v>
      </c>
      <c r="AS74" s="224">
        <f t="shared" si="124"/>
        <v>385</v>
      </c>
      <c r="AT74" s="225">
        <f t="shared" si="125"/>
        <v>430</v>
      </c>
    </row>
    <row r="75" spans="1:46" x14ac:dyDescent="0.25">
      <c r="A75" s="11"/>
      <c r="B75" s="11" t="s">
        <v>109</v>
      </c>
      <c r="C75" s="220">
        <f t="shared" si="88"/>
        <v>21540</v>
      </c>
      <c r="D75" s="221">
        <f t="shared" si="89"/>
        <v>24600</v>
      </c>
      <c r="E75" s="221">
        <f t="shared" si="90"/>
        <v>27660</v>
      </c>
      <c r="F75" s="221">
        <f t="shared" si="91"/>
        <v>30720</v>
      </c>
      <c r="G75" s="221">
        <f t="shared" si="92"/>
        <v>33180</v>
      </c>
      <c r="H75" s="222">
        <f t="shared" si="93"/>
        <v>35640</v>
      </c>
      <c r="I75" s="217">
        <f>'MTSP Income Limits'!G73</f>
        <v>17950</v>
      </c>
      <c r="J75" s="218">
        <f>'MTSP Income Limits'!H73</f>
        <v>20500</v>
      </c>
      <c r="K75" s="218">
        <f>'MTSP Income Limits'!I73</f>
        <v>23050</v>
      </c>
      <c r="L75" s="218">
        <f>'MTSP Income Limits'!J73</f>
        <v>25600</v>
      </c>
      <c r="M75" s="218">
        <f>'MTSP Income Limits'!K73</f>
        <v>27650</v>
      </c>
      <c r="N75" s="219">
        <f>'MTSP Income Limits'!L73</f>
        <v>29700</v>
      </c>
      <c r="O75" s="220">
        <f t="shared" si="94"/>
        <v>14360</v>
      </c>
      <c r="P75" s="221">
        <f t="shared" si="95"/>
        <v>16400</v>
      </c>
      <c r="Q75" s="221">
        <f t="shared" si="96"/>
        <v>18440</v>
      </c>
      <c r="R75" s="221">
        <f t="shared" si="97"/>
        <v>20480</v>
      </c>
      <c r="S75" s="221">
        <f t="shared" si="98"/>
        <v>22120</v>
      </c>
      <c r="T75" s="222">
        <f t="shared" si="99"/>
        <v>23760</v>
      </c>
      <c r="U75" s="223">
        <f t="shared" si="100"/>
        <v>10770</v>
      </c>
      <c r="V75" s="224">
        <f t="shared" si="101"/>
        <v>12300</v>
      </c>
      <c r="W75" s="224">
        <f t="shared" si="102"/>
        <v>13830</v>
      </c>
      <c r="X75" s="224">
        <f t="shared" si="103"/>
        <v>15360</v>
      </c>
      <c r="Y75" s="224">
        <f t="shared" si="104"/>
        <v>16590</v>
      </c>
      <c r="Z75" s="224">
        <f t="shared" si="105"/>
        <v>17820</v>
      </c>
      <c r="AA75" s="220">
        <f t="shared" si="106"/>
        <v>537</v>
      </c>
      <c r="AB75" s="221">
        <f t="shared" si="107"/>
        <v>576</v>
      </c>
      <c r="AC75" s="221">
        <f t="shared" si="108"/>
        <v>691</v>
      </c>
      <c r="AD75" s="221">
        <f t="shared" si="109"/>
        <v>798</v>
      </c>
      <c r="AE75" s="222">
        <f t="shared" si="110"/>
        <v>890</v>
      </c>
      <c r="AF75" s="223">
        <f t="shared" si="111"/>
        <v>448</v>
      </c>
      <c r="AG75" s="224">
        <f t="shared" si="112"/>
        <v>480</v>
      </c>
      <c r="AH75" s="224">
        <f t="shared" si="113"/>
        <v>576</v>
      </c>
      <c r="AI75" s="224">
        <f t="shared" si="114"/>
        <v>665</v>
      </c>
      <c r="AJ75" s="225">
        <f t="shared" si="115"/>
        <v>742</v>
      </c>
      <c r="AK75" s="220">
        <f t="shared" si="116"/>
        <v>358</v>
      </c>
      <c r="AL75" s="221">
        <f t="shared" si="117"/>
        <v>384</v>
      </c>
      <c r="AM75" s="221">
        <f t="shared" si="118"/>
        <v>460</v>
      </c>
      <c r="AN75" s="221">
        <f t="shared" si="119"/>
        <v>532</v>
      </c>
      <c r="AO75" s="222">
        <f t="shared" si="120"/>
        <v>593</v>
      </c>
      <c r="AP75" s="223">
        <f t="shared" si="121"/>
        <v>268</v>
      </c>
      <c r="AQ75" s="224">
        <f t="shared" si="122"/>
        <v>288</v>
      </c>
      <c r="AR75" s="224">
        <f t="shared" si="123"/>
        <v>345</v>
      </c>
      <c r="AS75" s="224">
        <f t="shared" si="124"/>
        <v>399</v>
      </c>
      <c r="AT75" s="225">
        <f t="shared" si="125"/>
        <v>445</v>
      </c>
    </row>
    <row r="76" spans="1:46" x14ac:dyDescent="0.25">
      <c r="A76" s="11"/>
      <c r="B76" s="11" t="s">
        <v>110</v>
      </c>
      <c r="C76" s="220">
        <f t="shared" si="88"/>
        <v>27600</v>
      </c>
      <c r="D76" s="221">
        <f t="shared" si="89"/>
        <v>31560</v>
      </c>
      <c r="E76" s="221">
        <f t="shared" si="90"/>
        <v>35520</v>
      </c>
      <c r="F76" s="221">
        <f t="shared" si="91"/>
        <v>39420</v>
      </c>
      <c r="G76" s="221">
        <f t="shared" si="92"/>
        <v>42600</v>
      </c>
      <c r="H76" s="222">
        <f t="shared" si="93"/>
        <v>45780</v>
      </c>
      <c r="I76" s="217">
        <f>'MTSP Income Limits'!G74</f>
        <v>23000</v>
      </c>
      <c r="J76" s="218">
        <f>'MTSP Income Limits'!H74</f>
        <v>26300</v>
      </c>
      <c r="K76" s="218">
        <f>'MTSP Income Limits'!I74</f>
        <v>29600</v>
      </c>
      <c r="L76" s="218">
        <f>'MTSP Income Limits'!J74</f>
        <v>32850</v>
      </c>
      <c r="M76" s="218">
        <f>'MTSP Income Limits'!K74</f>
        <v>35500</v>
      </c>
      <c r="N76" s="219">
        <f>'MTSP Income Limits'!L74</f>
        <v>38150</v>
      </c>
      <c r="O76" s="220">
        <f t="shared" si="94"/>
        <v>18400</v>
      </c>
      <c r="P76" s="221">
        <f t="shared" si="95"/>
        <v>21040</v>
      </c>
      <c r="Q76" s="221">
        <f t="shared" si="96"/>
        <v>23680</v>
      </c>
      <c r="R76" s="221">
        <f t="shared" si="97"/>
        <v>26280</v>
      </c>
      <c r="S76" s="221">
        <f t="shared" si="98"/>
        <v>28400</v>
      </c>
      <c r="T76" s="222">
        <f t="shared" si="99"/>
        <v>30520</v>
      </c>
      <c r="U76" s="223">
        <f t="shared" si="100"/>
        <v>13800</v>
      </c>
      <c r="V76" s="224">
        <f t="shared" si="101"/>
        <v>15780</v>
      </c>
      <c r="W76" s="224">
        <f t="shared" si="102"/>
        <v>17760</v>
      </c>
      <c r="X76" s="224">
        <f t="shared" si="103"/>
        <v>19710</v>
      </c>
      <c r="Y76" s="224">
        <f t="shared" si="104"/>
        <v>21300</v>
      </c>
      <c r="Z76" s="224">
        <f t="shared" si="105"/>
        <v>22890</v>
      </c>
      <c r="AA76" s="220">
        <f t="shared" si="106"/>
        <v>690</v>
      </c>
      <c r="AB76" s="221">
        <f t="shared" si="107"/>
        <v>739</v>
      </c>
      <c r="AC76" s="221">
        <f t="shared" si="108"/>
        <v>888</v>
      </c>
      <c r="AD76" s="221">
        <f t="shared" si="109"/>
        <v>1024</v>
      </c>
      <c r="AE76" s="222">
        <f t="shared" si="110"/>
        <v>1143</v>
      </c>
      <c r="AF76" s="223">
        <f t="shared" si="111"/>
        <v>575</v>
      </c>
      <c r="AG76" s="224">
        <f t="shared" si="112"/>
        <v>616</v>
      </c>
      <c r="AH76" s="224">
        <f t="shared" si="113"/>
        <v>740</v>
      </c>
      <c r="AI76" s="224">
        <f t="shared" si="114"/>
        <v>854</v>
      </c>
      <c r="AJ76" s="225">
        <f t="shared" si="115"/>
        <v>953</v>
      </c>
      <c r="AK76" s="220">
        <f t="shared" si="116"/>
        <v>460</v>
      </c>
      <c r="AL76" s="221">
        <f t="shared" si="117"/>
        <v>492</v>
      </c>
      <c r="AM76" s="221">
        <f t="shared" si="118"/>
        <v>592</v>
      </c>
      <c r="AN76" s="221">
        <f t="shared" si="119"/>
        <v>683</v>
      </c>
      <c r="AO76" s="222">
        <f t="shared" si="120"/>
        <v>762</v>
      </c>
      <c r="AP76" s="223">
        <f t="shared" si="121"/>
        <v>345</v>
      </c>
      <c r="AQ76" s="224">
        <f t="shared" si="122"/>
        <v>369</v>
      </c>
      <c r="AR76" s="224">
        <f t="shared" si="123"/>
        <v>444</v>
      </c>
      <c r="AS76" s="224">
        <f t="shared" si="124"/>
        <v>512</v>
      </c>
      <c r="AT76" s="225">
        <f t="shared" si="125"/>
        <v>571</v>
      </c>
    </row>
    <row r="77" spans="1:46" x14ac:dyDescent="0.25">
      <c r="A77" s="11"/>
      <c r="B77" s="11" t="s">
        <v>111</v>
      </c>
      <c r="C77" s="220">
        <f t="shared" si="88"/>
        <v>23280</v>
      </c>
      <c r="D77" s="221">
        <f t="shared" si="89"/>
        <v>26580</v>
      </c>
      <c r="E77" s="221">
        <f t="shared" si="90"/>
        <v>29880</v>
      </c>
      <c r="F77" s="221">
        <f t="shared" si="91"/>
        <v>33180</v>
      </c>
      <c r="G77" s="221">
        <f t="shared" si="92"/>
        <v>35880</v>
      </c>
      <c r="H77" s="222">
        <f t="shared" si="93"/>
        <v>38520</v>
      </c>
      <c r="I77" s="217">
        <f>'MTSP Income Limits'!G75</f>
        <v>19400</v>
      </c>
      <c r="J77" s="218">
        <f>'MTSP Income Limits'!H75</f>
        <v>22150</v>
      </c>
      <c r="K77" s="218">
        <f>'MTSP Income Limits'!I75</f>
        <v>24900</v>
      </c>
      <c r="L77" s="218">
        <f>'MTSP Income Limits'!J75</f>
        <v>27650</v>
      </c>
      <c r="M77" s="218">
        <f>'MTSP Income Limits'!K75</f>
        <v>29900</v>
      </c>
      <c r="N77" s="219">
        <f>'MTSP Income Limits'!L75</f>
        <v>32100</v>
      </c>
      <c r="O77" s="220">
        <f t="shared" si="94"/>
        <v>15520</v>
      </c>
      <c r="P77" s="221">
        <f t="shared" si="95"/>
        <v>17720</v>
      </c>
      <c r="Q77" s="221">
        <f t="shared" si="96"/>
        <v>19920</v>
      </c>
      <c r="R77" s="221">
        <f t="shared" si="97"/>
        <v>22120</v>
      </c>
      <c r="S77" s="221">
        <f t="shared" si="98"/>
        <v>23920</v>
      </c>
      <c r="T77" s="222">
        <f t="shared" si="99"/>
        <v>25680</v>
      </c>
      <c r="U77" s="223">
        <f t="shared" si="100"/>
        <v>11640</v>
      </c>
      <c r="V77" s="224">
        <f t="shared" si="101"/>
        <v>13290</v>
      </c>
      <c r="W77" s="224">
        <f t="shared" si="102"/>
        <v>14940</v>
      </c>
      <c r="X77" s="224">
        <f t="shared" si="103"/>
        <v>16590</v>
      </c>
      <c r="Y77" s="224">
        <f t="shared" si="104"/>
        <v>17940</v>
      </c>
      <c r="Z77" s="224">
        <f t="shared" si="105"/>
        <v>19260</v>
      </c>
      <c r="AA77" s="220">
        <f t="shared" si="106"/>
        <v>582</v>
      </c>
      <c r="AB77" s="221">
        <f t="shared" si="107"/>
        <v>622</v>
      </c>
      <c r="AC77" s="221">
        <f t="shared" si="108"/>
        <v>746</v>
      </c>
      <c r="AD77" s="221">
        <f t="shared" si="109"/>
        <v>862</v>
      </c>
      <c r="AE77" s="222">
        <f t="shared" si="110"/>
        <v>962</v>
      </c>
      <c r="AF77" s="223">
        <f t="shared" si="111"/>
        <v>485</v>
      </c>
      <c r="AG77" s="224">
        <f t="shared" si="112"/>
        <v>519</v>
      </c>
      <c r="AH77" s="224">
        <f t="shared" si="113"/>
        <v>622</v>
      </c>
      <c r="AI77" s="224">
        <f t="shared" si="114"/>
        <v>719</v>
      </c>
      <c r="AJ77" s="225">
        <f t="shared" si="115"/>
        <v>802</v>
      </c>
      <c r="AK77" s="220">
        <f t="shared" si="116"/>
        <v>388</v>
      </c>
      <c r="AL77" s="221">
        <f t="shared" si="117"/>
        <v>415</v>
      </c>
      <c r="AM77" s="221">
        <f t="shared" si="118"/>
        <v>497</v>
      </c>
      <c r="AN77" s="221">
        <f t="shared" si="119"/>
        <v>575</v>
      </c>
      <c r="AO77" s="222">
        <f t="shared" si="120"/>
        <v>641</v>
      </c>
      <c r="AP77" s="223">
        <f t="shared" si="121"/>
        <v>291</v>
      </c>
      <c r="AQ77" s="224">
        <f t="shared" si="122"/>
        <v>311</v>
      </c>
      <c r="AR77" s="224">
        <f t="shared" si="123"/>
        <v>373</v>
      </c>
      <c r="AS77" s="224">
        <f t="shared" si="124"/>
        <v>431</v>
      </c>
      <c r="AT77" s="225">
        <f t="shared" si="125"/>
        <v>481</v>
      </c>
    </row>
    <row r="78" spans="1:46" x14ac:dyDescent="0.25">
      <c r="A78" s="11"/>
      <c r="B78" s="11" t="s">
        <v>112</v>
      </c>
      <c r="C78" s="220">
        <f t="shared" si="88"/>
        <v>24960</v>
      </c>
      <c r="D78" s="221">
        <f t="shared" si="89"/>
        <v>28500</v>
      </c>
      <c r="E78" s="221">
        <f t="shared" si="90"/>
        <v>32040</v>
      </c>
      <c r="F78" s="221">
        <f t="shared" si="91"/>
        <v>35580</v>
      </c>
      <c r="G78" s="221">
        <f t="shared" si="92"/>
        <v>38460</v>
      </c>
      <c r="H78" s="222">
        <f t="shared" si="93"/>
        <v>41280</v>
      </c>
      <c r="I78" s="217">
        <f>'MTSP Income Limits'!G76</f>
        <v>20800</v>
      </c>
      <c r="J78" s="218">
        <f>'MTSP Income Limits'!H76</f>
        <v>23750</v>
      </c>
      <c r="K78" s="218">
        <f>'MTSP Income Limits'!I76</f>
        <v>26700</v>
      </c>
      <c r="L78" s="218">
        <f>'MTSP Income Limits'!J76</f>
        <v>29650</v>
      </c>
      <c r="M78" s="218">
        <f>'MTSP Income Limits'!K76</f>
        <v>32050</v>
      </c>
      <c r="N78" s="219">
        <f>'MTSP Income Limits'!L76</f>
        <v>34400</v>
      </c>
      <c r="O78" s="220">
        <f t="shared" si="94"/>
        <v>16640</v>
      </c>
      <c r="P78" s="221">
        <f t="shared" si="95"/>
        <v>19000</v>
      </c>
      <c r="Q78" s="221">
        <f t="shared" si="96"/>
        <v>21360</v>
      </c>
      <c r="R78" s="221">
        <f t="shared" si="97"/>
        <v>23720</v>
      </c>
      <c r="S78" s="221">
        <f t="shared" si="98"/>
        <v>25640</v>
      </c>
      <c r="T78" s="222">
        <f t="shared" si="99"/>
        <v>27520</v>
      </c>
      <c r="U78" s="223">
        <f t="shared" si="100"/>
        <v>12480</v>
      </c>
      <c r="V78" s="224">
        <f t="shared" si="101"/>
        <v>14250</v>
      </c>
      <c r="W78" s="224">
        <f t="shared" si="102"/>
        <v>16020</v>
      </c>
      <c r="X78" s="224">
        <f t="shared" si="103"/>
        <v>17790</v>
      </c>
      <c r="Y78" s="224">
        <f t="shared" si="104"/>
        <v>19230</v>
      </c>
      <c r="Z78" s="224">
        <f t="shared" si="105"/>
        <v>20640</v>
      </c>
      <c r="AA78" s="220">
        <f t="shared" si="106"/>
        <v>624</v>
      </c>
      <c r="AB78" s="221">
        <f t="shared" si="107"/>
        <v>667</v>
      </c>
      <c r="AC78" s="221">
        <f t="shared" si="108"/>
        <v>800</v>
      </c>
      <c r="AD78" s="221">
        <f t="shared" si="109"/>
        <v>925</v>
      </c>
      <c r="AE78" s="222">
        <f t="shared" si="110"/>
        <v>1032</v>
      </c>
      <c r="AF78" s="223">
        <f t="shared" si="111"/>
        <v>520</v>
      </c>
      <c r="AG78" s="224">
        <f t="shared" si="112"/>
        <v>556</v>
      </c>
      <c r="AH78" s="224">
        <f t="shared" si="113"/>
        <v>667</v>
      </c>
      <c r="AI78" s="224">
        <f t="shared" si="114"/>
        <v>771</v>
      </c>
      <c r="AJ78" s="225">
        <f t="shared" si="115"/>
        <v>860</v>
      </c>
      <c r="AK78" s="220">
        <f t="shared" si="116"/>
        <v>416</v>
      </c>
      <c r="AL78" s="221">
        <f t="shared" si="117"/>
        <v>444</v>
      </c>
      <c r="AM78" s="221">
        <f t="shared" si="118"/>
        <v>533</v>
      </c>
      <c r="AN78" s="221">
        <f t="shared" si="119"/>
        <v>616</v>
      </c>
      <c r="AO78" s="222">
        <f t="shared" si="120"/>
        <v>688</v>
      </c>
      <c r="AP78" s="223">
        <f t="shared" si="121"/>
        <v>312</v>
      </c>
      <c r="AQ78" s="224">
        <f t="shared" si="122"/>
        <v>333</v>
      </c>
      <c r="AR78" s="224">
        <f t="shared" si="123"/>
        <v>400</v>
      </c>
      <c r="AS78" s="224">
        <f t="shared" si="124"/>
        <v>462</v>
      </c>
      <c r="AT78" s="225">
        <f t="shared" si="125"/>
        <v>516</v>
      </c>
    </row>
    <row r="79" spans="1:46" x14ac:dyDescent="0.25">
      <c r="A79" s="11"/>
      <c r="B79" s="11" t="s">
        <v>113</v>
      </c>
      <c r="C79" s="220">
        <f t="shared" si="88"/>
        <v>23820</v>
      </c>
      <c r="D79" s="221">
        <f t="shared" si="89"/>
        <v>27240</v>
      </c>
      <c r="E79" s="221">
        <f t="shared" si="90"/>
        <v>30660</v>
      </c>
      <c r="F79" s="221">
        <f t="shared" si="91"/>
        <v>34020</v>
      </c>
      <c r="G79" s="221">
        <f t="shared" si="92"/>
        <v>36780</v>
      </c>
      <c r="H79" s="222">
        <f t="shared" si="93"/>
        <v>39480</v>
      </c>
      <c r="I79" s="217">
        <f>'MTSP Income Limits'!G77</f>
        <v>19850</v>
      </c>
      <c r="J79" s="218">
        <f>'MTSP Income Limits'!H77</f>
        <v>22700</v>
      </c>
      <c r="K79" s="218">
        <f>'MTSP Income Limits'!I77</f>
        <v>25550</v>
      </c>
      <c r="L79" s="218">
        <f>'MTSP Income Limits'!J77</f>
        <v>28350</v>
      </c>
      <c r="M79" s="218">
        <f>'MTSP Income Limits'!K77</f>
        <v>30650</v>
      </c>
      <c r="N79" s="219">
        <f>'MTSP Income Limits'!L77</f>
        <v>32900</v>
      </c>
      <c r="O79" s="220">
        <f t="shared" si="94"/>
        <v>15880</v>
      </c>
      <c r="P79" s="221">
        <f t="shared" si="95"/>
        <v>18160</v>
      </c>
      <c r="Q79" s="221">
        <f t="shared" si="96"/>
        <v>20440</v>
      </c>
      <c r="R79" s="221">
        <f t="shared" si="97"/>
        <v>22680</v>
      </c>
      <c r="S79" s="221">
        <f t="shared" si="98"/>
        <v>24520</v>
      </c>
      <c r="T79" s="222">
        <f t="shared" si="99"/>
        <v>26320</v>
      </c>
      <c r="U79" s="223">
        <f t="shared" si="100"/>
        <v>11910</v>
      </c>
      <c r="V79" s="224">
        <f t="shared" si="101"/>
        <v>13620</v>
      </c>
      <c r="W79" s="224">
        <f t="shared" si="102"/>
        <v>15330</v>
      </c>
      <c r="X79" s="224">
        <f t="shared" si="103"/>
        <v>17010</v>
      </c>
      <c r="Y79" s="224">
        <f t="shared" si="104"/>
        <v>18390</v>
      </c>
      <c r="Z79" s="224">
        <f t="shared" si="105"/>
        <v>19740</v>
      </c>
      <c r="AA79" s="220">
        <f t="shared" si="106"/>
        <v>595</v>
      </c>
      <c r="AB79" s="221">
        <f t="shared" si="107"/>
        <v>637</v>
      </c>
      <c r="AC79" s="221">
        <f t="shared" si="108"/>
        <v>765</v>
      </c>
      <c r="AD79" s="221">
        <f t="shared" si="109"/>
        <v>884</v>
      </c>
      <c r="AE79" s="222">
        <f t="shared" si="110"/>
        <v>986</v>
      </c>
      <c r="AF79" s="223">
        <f t="shared" si="111"/>
        <v>496</v>
      </c>
      <c r="AG79" s="224">
        <f t="shared" si="112"/>
        <v>531</v>
      </c>
      <c r="AH79" s="224">
        <f t="shared" si="113"/>
        <v>638</v>
      </c>
      <c r="AI79" s="224">
        <f t="shared" si="114"/>
        <v>737</v>
      </c>
      <c r="AJ79" s="225">
        <f t="shared" si="115"/>
        <v>822</v>
      </c>
      <c r="AK79" s="220">
        <f t="shared" si="116"/>
        <v>396</v>
      </c>
      <c r="AL79" s="221">
        <f t="shared" si="117"/>
        <v>424</v>
      </c>
      <c r="AM79" s="221">
        <f t="shared" si="118"/>
        <v>510</v>
      </c>
      <c r="AN79" s="221">
        <f t="shared" si="119"/>
        <v>589</v>
      </c>
      <c r="AO79" s="222">
        <f t="shared" si="120"/>
        <v>657</v>
      </c>
      <c r="AP79" s="223">
        <f t="shared" si="121"/>
        <v>297</v>
      </c>
      <c r="AQ79" s="224">
        <f t="shared" si="122"/>
        <v>318</v>
      </c>
      <c r="AR79" s="224">
        <f t="shared" si="123"/>
        <v>382</v>
      </c>
      <c r="AS79" s="224">
        <f t="shared" si="124"/>
        <v>442</v>
      </c>
      <c r="AT79" s="225">
        <f t="shared" si="125"/>
        <v>493</v>
      </c>
    </row>
    <row r="80" spans="1:46" x14ac:dyDescent="0.25">
      <c r="A80" s="11"/>
      <c r="B80" s="11" t="s">
        <v>114</v>
      </c>
      <c r="C80" s="220">
        <f t="shared" si="88"/>
        <v>21600</v>
      </c>
      <c r="D80" s="221">
        <f t="shared" si="89"/>
        <v>24660</v>
      </c>
      <c r="E80" s="221">
        <f t="shared" si="90"/>
        <v>27720</v>
      </c>
      <c r="F80" s="221">
        <f t="shared" si="91"/>
        <v>30780</v>
      </c>
      <c r="G80" s="221">
        <f t="shared" si="92"/>
        <v>33300</v>
      </c>
      <c r="H80" s="222">
        <f t="shared" si="93"/>
        <v>35760</v>
      </c>
      <c r="I80" s="217">
        <f>'MTSP Income Limits'!G78</f>
        <v>18000</v>
      </c>
      <c r="J80" s="218">
        <f>'MTSP Income Limits'!H78</f>
        <v>20550</v>
      </c>
      <c r="K80" s="218">
        <f>'MTSP Income Limits'!I78</f>
        <v>23100</v>
      </c>
      <c r="L80" s="218">
        <f>'MTSP Income Limits'!J78</f>
        <v>25650</v>
      </c>
      <c r="M80" s="218">
        <f>'MTSP Income Limits'!K78</f>
        <v>27750</v>
      </c>
      <c r="N80" s="219">
        <f>'MTSP Income Limits'!L78</f>
        <v>29800</v>
      </c>
      <c r="O80" s="220">
        <f t="shared" si="94"/>
        <v>14400</v>
      </c>
      <c r="P80" s="221">
        <f t="shared" si="95"/>
        <v>16440</v>
      </c>
      <c r="Q80" s="221">
        <f t="shared" si="96"/>
        <v>18480</v>
      </c>
      <c r="R80" s="221">
        <f t="shared" si="97"/>
        <v>20520</v>
      </c>
      <c r="S80" s="221">
        <f t="shared" si="98"/>
        <v>22200</v>
      </c>
      <c r="T80" s="222">
        <f t="shared" si="99"/>
        <v>23840</v>
      </c>
      <c r="U80" s="223">
        <f t="shared" si="100"/>
        <v>10800</v>
      </c>
      <c r="V80" s="224">
        <f t="shared" si="101"/>
        <v>12330</v>
      </c>
      <c r="W80" s="224">
        <f t="shared" si="102"/>
        <v>13860</v>
      </c>
      <c r="X80" s="224">
        <f t="shared" si="103"/>
        <v>15390</v>
      </c>
      <c r="Y80" s="224">
        <f t="shared" si="104"/>
        <v>16650</v>
      </c>
      <c r="Z80" s="224">
        <f t="shared" si="105"/>
        <v>17880</v>
      </c>
      <c r="AA80" s="220">
        <f t="shared" si="106"/>
        <v>540</v>
      </c>
      <c r="AB80" s="221">
        <f t="shared" si="107"/>
        <v>577</v>
      </c>
      <c r="AC80" s="221">
        <f t="shared" si="108"/>
        <v>692</v>
      </c>
      <c r="AD80" s="221">
        <f t="shared" si="109"/>
        <v>800</v>
      </c>
      <c r="AE80" s="222">
        <f t="shared" si="110"/>
        <v>894</v>
      </c>
      <c r="AF80" s="223">
        <f t="shared" si="111"/>
        <v>450</v>
      </c>
      <c r="AG80" s="224">
        <f t="shared" si="112"/>
        <v>481</v>
      </c>
      <c r="AH80" s="224">
        <f t="shared" si="113"/>
        <v>577</v>
      </c>
      <c r="AI80" s="224">
        <f t="shared" si="114"/>
        <v>667</v>
      </c>
      <c r="AJ80" s="225">
        <f t="shared" si="115"/>
        <v>745</v>
      </c>
      <c r="AK80" s="220">
        <f t="shared" si="116"/>
        <v>360</v>
      </c>
      <c r="AL80" s="221">
        <f t="shared" si="117"/>
        <v>384</v>
      </c>
      <c r="AM80" s="221">
        <f t="shared" si="118"/>
        <v>461</v>
      </c>
      <c r="AN80" s="221">
        <f t="shared" si="119"/>
        <v>533</v>
      </c>
      <c r="AO80" s="222">
        <f t="shared" si="120"/>
        <v>596</v>
      </c>
      <c r="AP80" s="223">
        <f t="shared" si="121"/>
        <v>270</v>
      </c>
      <c r="AQ80" s="224">
        <f t="shared" si="122"/>
        <v>288</v>
      </c>
      <c r="AR80" s="224">
        <f t="shared" si="123"/>
        <v>346</v>
      </c>
      <c r="AS80" s="224">
        <f t="shared" si="124"/>
        <v>400</v>
      </c>
      <c r="AT80" s="225">
        <f t="shared" si="125"/>
        <v>447</v>
      </c>
    </row>
    <row r="81" spans="1:46" x14ac:dyDescent="0.25">
      <c r="A81" s="11"/>
      <c r="B81" s="11" t="s">
        <v>115</v>
      </c>
      <c r="C81" s="220">
        <f t="shared" si="88"/>
        <v>23280</v>
      </c>
      <c r="D81" s="221">
        <f t="shared" si="89"/>
        <v>26580</v>
      </c>
      <c r="E81" s="221">
        <f t="shared" si="90"/>
        <v>29880</v>
      </c>
      <c r="F81" s="221">
        <f t="shared" si="91"/>
        <v>33180</v>
      </c>
      <c r="G81" s="221">
        <f t="shared" si="92"/>
        <v>35880</v>
      </c>
      <c r="H81" s="222">
        <f t="shared" si="93"/>
        <v>38520</v>
      </c>
      <c r="I81" s="217">
        <f>'MTSP Income Limits'!G79</f>
        <v>19400</v>
      </c>
      <c r="J81" s="218">
        <f>'MTSP Income Limits'!H79</f>
        <v>22150</v>
      </c>
      <c r="K81" s="218">
        <f>'MTSP Income Limits'!I79</f>
        <v>24900</v>
      </c>
      <c r="L81" s="218">
        <f>'MTSP Income Limits'!J79</f>
        <v>27650</v>
      </c>
      <c r="M81" s="218">
        <f>'MTSP Income Limits'!K79</f>
        <v>29900</v>
      </c>
      <c r="N81" s="219">
        <f>'MTSP Income Limits'!L79</f>
        <v>32100</v>
      </c>
      <c r="O81" s="220">
        <f t="shared" si="94"/>
        <v>15520</v>
      </c>
      <c r="P81" s="221">
        <f t="shared" si="95"/>
        <v>17720</v>
      </c>
      <c r="Q81" s="221">
        <f t="shared" si="96"/>
        <v>19920</v>
      </c>
      <c r="R81" s="221">
        <f t="shared" si="97"/>
        <v>22120</v>
      </c>
      <c r="S81" s="221">
        <f t="shared" si="98"/>
        <v>23920</v>
      </c>
      <c r="T81" s="222">
        <f t="shared" si="99"/>
        <v>25680</v>
      </c>
      <c r="U81" s="223">
        <f t="shared" si="100"/>
        <v>11640</v>
      </c>
      <c r="V81" s="224">
        <f t="shared" si="101"/>
        <v>13290</v>
      </c>
      <c r="W81" s="224">
        <f t="shared" si="102"/>
        <v>14940</v>
      </c>
      <c r="X81" s="224">
        <f t="shared" si="103"/>
        <v>16590</v>
      </c>
      <c r="Y81" s="224">
        <f t="shared" si="104"/>
        <v>17940</v>
      </c>
      <c r="Z81" s="224">
        <f t="shared" si="105"/>
        <v>19260</v>
      </c>
      <c r="AA81" s="220">
        <f t="shared" si="106"/>
        <v>582</v>
      </c>
      <c r="AB81" s="221">
        <f t="shared" si="107"/>
        <v>622</v>
      </c>
      <c r="AC81" s="221">
        <f t="shared" si="108"/>
        <v>746</v>
      </c>
      <c r="AD81" s="221">
        <f t="shared" si="109"/>
        <v>862</v>
      </c>
      <c r="AE81" s="222">
        <f t="shared" si="110"/>
        <v>962</v>
      </c>
      <c r="AF81" s="223">
        <f t="shared" si="111"/>
        <v>485</v>
      </c>
      <c r="AG81" s="224">
        <f t="shared" si="112"/>
        <v>519</v>
      </c>
      <c r="AH81" s="224">
        <f t="shared" si="113"/>
        <v>622</v>
      </c>
      <c r="AI81" s="224">
        <f t="shared" si="114"/>
        <v>719</v>
      </c>
      <c r="AJ81" s="225">
        <f t="shared" si="115"/>
        <v>802</v>
      </c>
      <c r="AK81" s="220">
        <f t="shared" si="116"/>
        <v>388</v>
      </c>
      <c r="AL81" s="221">
        <f t="shared" si="117"/>
        <v>415</v>
      </c>
      <c r="AM81" s="221">
        <f t="shared" si="118"/>
        <v>497</v>
      </c>
      <c r="AN81" s="221">
        <f t="shared" si="119"/>
        <v>575</v>
      </c>
      <c r="AO81" s="222">
        <f t="shared" si="120"/>
        <v>641</v>
      </c>
      <c r="AP81" s="223">
        <f t="shared" si="121"/>
        <v>291</v>
      </c>
      <c r="AQ81" s="224">
        <f t="shared" si="122"/>
        <v>311</v>
      </c>
      <c r="AR81" s="224">
        <f t="shared" si="123"/>
        <v>373</v>
      </c>
      <c r="AS81" s="224">
        <f t="shared" si="124"/>
        <v>431</v>
      </c>
      <c r="AT81" s="225">
        <f t="shared" si="125"/>
        <v>481</v>
      </c>
    </row>
    <row r="82" spans="1:46" x14ac:dyDescent="0.25">
      <c r="A82" s="11"/>
      <c r="B82" s="11" t="s">
        <v>116</v>
      </c>
      <c r="C82" s="220">
        <f t="shared" si="88"/>
        <v>23220</v>
      </c>
      <c r="D82" s="221">
        <f t="shared" si="89"/>
        <v>26520</v>
      </c>
      <c r="E82" s="221">
        <f t="shared" si="90"/>
        <v>29820</v>
      </c>
      <c r="F82" s="221">
        <f t="shared" si="91"/>
        <v>33120</v>
      </c>
      <c r="G82" s="221">
        <f t="shared" si="92"/>
        <v>35820</v>
      </c>
      <c r="H82" s="222">
        <f t="shared" si="93"/>
        <v>38460</v>
      </c>
      <c r="I82" s="217">
        <f>'MTSP Income Limits'!G80</f>
        <v>19350</v>
      </c>
      <c r="J82" s="218">
        <f>'MTSP Income Limits'!H80</f>
        <v>22100</v>
      </c>
      <c r="K82" s="218">
        <f>'MTSP Income Limits'!I80</f>
        <v>24850</v>
      </c>
      <c r="L82" s="218">
        <f>'MTSP Income Limits'!J80</f>
        <v>27600</v>
      </c>
      <c r="M82" s="218">
        <f>'MTSP Income Limits'!K80</f>
        <v>29850</v>
      </c>
      <c r="N82" s="219">
        <f>'MTSP Income Limits'!L80</f>
        <v>32050</v>
      </c>
      <c r="O82" s="220">
        <f t="shared" si="94"/>
        <v>15480</v>
      </c>
      <c r="P82" s="221">
        <f t="shared" si="95"/>
        <v>17680</v>
      </c>
      <c r="Q82" s="221">
        <f t="shared" si="96"/>
        <v>19880</v>
      </c>
      <c r="R82" s="221">
        <f t="shared" si="97"/>
        <v>22080</v>
      </c>
      <c r="S82" s="221">
        <f t="shared" si="98"/>
        <v>23880</v>
      </c>
      <c r="T82" s="222">
        <f t="shared" si="99"/>
        <v>25640</v>
      </c>
      <c r="U82" s="223">
        <f t="shared" si="100"/>
        <v>11610</v>
      </c>
      <c r="V82" s="224">
        <f t="shared" si="101"/>
        <v>13260</v>
      </c>
      <c r="W82" s="224">
        <f t="shared" si="102"/>
        <v>14910</v>
      </c>
      <c r="X82" s="224">
        <f t="shared" si="103"/>
        <v>16560</v>
      </c>
      <c r="Y82" s="224">
        <f t="shared" si="104"/>
        <v>17910</v>
      </c>
      <c r="Z82" s="224">
        <f t="shared" si="105"/>
        <v>19230</v>
      </c>
      <c r="AA82" s="220">
        <f t="shared" si="106"/>
        <v>579</v>
      </c>
      <c r="AB82" s="221">
        <f t="shared" si="107"/>
        <v>621</v>
      </c>
      <c r="AC82" s="221">
        <f t="shared" si="108"/>
        <v>745</v>
      </c>
      <c r="AD82" s="221">
        <f t="shared" si="109"/>
        <v>861</v>
      </c>
      <c r="AE82" s="222">
        <f t="shared" si="110"/>
        <v>961</v>
      </c>
      <c r="AF82" s="223">
        <f t="shared" si="111"/>
        <v>483</v>
      </c>
      <c r="AG82" s="224">
        <f t="shared" si="112"/>
        <v>518</v>
      </c>
      <c r="AH82" s="224">
        <f t="shared" si="113"/>
        <v>621</v>
      </c>
      <c r="AI82" s="224">
        <f t="shared" si="114"/>
        <v>718</v>
      </c>
      <c r="AJ82" s="225">
        <f t="shared" si="115"/>
        <v>801</v>
      </c>
      <c r="AK82" s="220">
        <f t="shared" si="116"/>
        <v>386</v>
      </c>
      <c r="AL82" s="221">
        <f t="shared" si="117"/>
        <v>414</v>
      </c>
      <c r="AM82" s="221">
        <f t="shared" si="118"/>
        <v>496</v>
      </c>
      <c r="AN82" s="221">
        <f t="shared" si="119"/>
        <v>574</v>
      </c>
      <c r="AO82" s="222">
        <f t="shared" si="120"/>
        <v>640</v>
      </c>
      <c r="AP82" s="223">
        <f t="shared" si="121"/>
        <v>289</v>
      </c>
      <c r="AQ82" s="224">
        <f t="shared" si="122"/>
        <v>310</v>
      </c>
      <c r="AR82" s="224">
        <f t="shared" si="123"/>
        <v>372</v>
      </c>
      <c r="AS82" s="224">
        <f t="shared" si="124"/>
        <v>430</v>
      </c>
      <c r="AT82" s="225">
        <f t="shared" si="125"/>
        <v>480</v>
      </c>
    </row>
    <row r="83" spans="1:46" x14ac:dyDescent="0.25">
      <c r="A83" s="11"/>
      <c r="B83" s="11" t="s">
        <v>117</v>
      </c>
      <c r="C83" s="220">
        <f t="shared" si="88"/>
        <v>23460</v>
      </c>
      <c r="D83" s="221">
        <f t="shared" si="89"/>
        <v>26820</v>
      </c>
      <c r="E83" s="221">
        <f t="shared" si="90"/>
        <v>30180</v>
      </c>
      <c r="F83" s="221">
        <f t="shared" si="91"/>
        <v>33480</v>
      </c>
      <c r="G83" s="221">
        <f t="shared" si="92"/>
        <v>36180</v>
      </c>
      <c r="H83" s="222">
        <f t="shared" si="93"/>
        <v>38880</v>
      </c>
      <c r="I83" s="217">
        <f>'MTSP Income Limits'!G81</f>
        <v>19550</v>
      </c>
      <c r="J83" s="218">
        <f>'MTSP Income Limits'!H81</f>
        <v>22350</v>
      </c>
      <c r="K83" s="218">
        <f>'MTSP Income Limits'!I81</f>
        <v>25150</v>
      </c>
      <c r="L83" s="218">
        <f>'MTSP Income Limits'!J81</f>
        <v>27900</v>
      </c>
      <c r="M83" s="218">
        <f>'MTSP Income Limits'!K81</f>
        <v>30150</v>
      </c>
      <c r="N83" s="219">
        <f>'MTSP Income Limits'!L81</f>
        <v>32400</v>
      </c>
      <c r="O83" s="220">
        <f t="shared" si="94"/>
        <v>15640</v>
      </c>
      <c r="P83" s="221">
        <f t="shared" si="95"/>
        <v>17880</v>
      </c>
      <c r="Q83" s="221">
        <f t="shared" si="96"/>
        <v>20120</v>
      </c>
      <c r="R83" s="221">
        <f t="shared" si="97"/>
        <v>22320</v>
      </c>
      <c r="S83" s="221">
        <f t="shared" si="98"/>
        <v>24120</v>
      </c>
      <c r="T83" s="222">
        <f t="shared" si="99"/>
        <v>25920</v>
      </c>
      <c r="U83" s="223">
        <f t="shared" si="100"/>
        <v>11730</v>
      </c>
      <c r="V83" s="224">
        <f t="shared" si="101"/>
        <v>13410</v>
      </c>
      <c r="W83" s="224">
        <f t="shared" si="102"/>
        <v>15090</v>
      </c>
      <c r="X83" s="224">
        <f t="shared" si="103"/>
        <v>16740</v>
      </c>
      <c r="Y83" s="224">
        <f t="shared" si="104"/>
        <v>18090</v>
      </c>
      <c r="Z83" s="224">
        <f t="shared" si="105"/>
        <v>19440</v>
      </c>
      <c r="AA83" s="220">
        <f t="shared" si="106"/>
        <v>585</v>
      </c>
      <c r="AB83" s="221">
        <f t="shared" si="107"/>
        <v>627</v>
      </c>
      <c r="AC83" s="221">
        <f t="shared" si="108"/>
        <v>753</v>
      </c>
      <c r="AD83" s="221">
        <f t="shared" si="109"/>
        <v>870</v>
      </c>
      <c r="AE83" s="222">
        <f t="shared" si="110"/>
        <v>972</v>
      </c>
      <c r="AF83" s="223">
        <f t="shared" si="111"/>
        <v>488</v>
      </c>
      <c r="AG83" s="224">
        <f t="shared" si="112"/>
        <v>523</v>
      </c>
      <c r="AH83" s="224">
        <f t="shared" si="113"/>
        <v>628</v>
      </c>
      <c r="AI83" s="224">
        <f t="shared" si="114"/>
        <v>725</v>
      </c>
      <c r="AJ83" s="225">
        <f t="shared" si="115"/>
        <v>810</v>
      </c>
      <c r="AK83" s="220">
        <f t="shared" si="116"/>
        <v>390</v>
      </c>
      <c r="AL83" s="221">
        <f t="shared" si="117"/>
        <v>418</v>
      </c>
      <c r="AM83" s="221">
        <f t="shared" si="118"/>
        <v>502</v>
      </c>
      <c r="AN83" s="221">
        <f t="shared" si="119"/>
        <v>580</v>
      </c>
      <c r="AO83" s="222">
        <f t="shared" si="120"/>
        <v>648</v>
      </c>
      <c r="AP83" s="223">
        <f t="shared" si="121"/>
        <v>292</v>
      </c>
      <c r="AQ83" s="224">
        <f t="shared" si="122"/>
        <v>313</v>
      </c>
      <c r="AR83" s="224">
        <f t="shared" si="123"/>
        <v>376</v>
      </c>
      <c r="AS83" s="224">
        <f t="shared" si="124"/>
        <v>435</v>
      </c>
      <c r="AT83" s="225">
        <f t="shared" si="125"/>
        <v>486</v>
      </c>
    </row>
    <row r="84" spans="1:46" x14ac:dyDescent="0.25">
      <c r="A84" s="11"/>
      <c r="B84" s="11" t="s">
        <v>118</v>
      </c>
      <c r="C84" s="220">
        <f t="shared" si="88"/>
        <v>23160</v>
      </c>
      <c r="D84" s="221">
        <f t="shared" si="89"/>
        <v>26460</v>
      </c>
      <c r="E84" s="221">
        <f t="shared" si="90"/>
        <v>29760</v>
      </c>
      <c r="F84" s="221">
        <f t="shared" si="91"/>
        <v>33060</v>
      </c>
      <c r="G84" s="221">
        <f t="shared" si="92"/>
        <v>35760</v>
      </c>
      <c r="H84" s="222">
        <f t="shared" si="93"/>
        <v>38400</v>
      </c>
      <c r="I84" s="217">
        <f>'MTSP Income Limits'!G82</f>
        <v>19300</v>
      </c>
      <c r="J84" s="218">
        <f>'MTSP Income Limits'!H82</f>
        <v>22050</v>
      </c>
      <c r="K84" s="218">
        <f>'MTSP Income Limits'!I82</f>
        <v>24800</v>
      </c>
      <c r="L84" s="218">
        <f>'MTSP Income Limits'!J82</f>
        <v>27550</v>
      </c>
      <c r="M84" s="218">
        <f>'MTSP Income Limits'!K82</f>
        <v>29800</v>
      </c>
      <c r="N84" s="219">
        <f>'MTSP Income Limits'!L82</f>
        <v>32000</v>
      </c>
      <c r="O84" s="220">
        <f t="shared" si="94"/>
        <v>15440</v>
      </c>
      <c r="P84" s="221">
        <f t="shared" si="95"/>
        <v>17640</v>
      </c>
      <c r="Q84" s="221">
        <f t="shared" si="96"/>
        <v>19840</v>
      </c>
      <c r="R84" s="221">
        <f t="shared" si="97"/>
        <v>22040</v>
      </c>
      <c r="S84" s="221">
        <f t="shared" si="98"/>
        <v>23840</v>
      </c>
      <c r="T84" s="222">
        <f t="shared" si="99"/>
        <v>25600</v>
      </c>
      <c r="U84" s="223">
        <f t="shared" si="100"/>
        <v>11580</v>
      </c>
      <c r="V84" s="224">
        <f t="shared" si="101"/>
        <v>13230</v>
      </c>
      <c r="W84" s="224">
        <f t="shared" si="102"/>
        <v>14880</v>
      </c>
      <c r="X84" s="224">
        <f t="shared" si="103"/>
        <v>16530</v>
      </c>
      <c r="Y84" s="224">
        <f t="shared" si="104"/>
        <v>17880</v>
      </c>
      <c r="Z84" s="224">
        <f t="shared" si="105"/>
        <v>19200</v>
      </c>
      <c r="AA84" s="220">
        <f t="shared" si="106"/>
        <v>578</v>
      </c>
      <c r="AB84" s="221">
        <f t="shared" si="107"/>
        <v>619</v>
      </c>
      <c r="AC84" s="221">
        <f t="shared" si="108"/>
        <v>744</v>
      </c>
      <c r="AD84" s="221">
        <f t="shared" si="109"/>
        <v>859</v>
      </c>
      <c r="AE84" s="222">
        <f t="shared" si="110"/>
        <v>960</v>
      </c>
      <c r="AF84" s="223">
        <f t="shared" si="111"/>
        <v>482</v>
      </c>
      <c r="AG84" s="224">
        <f t="shared" si="112"/>
        <v>516</v>
      </c>
      <c r="AH84" s="224">
        <f t="shared" si="113"/>
        <v>620</v>
      </c>
      <c r="AI84" s="224">
        <f t="shared" si="114"/>
        <v>716</v>
      </c>
      <c r="AJ84" s="225">
        <f t="shared" si="115"/>
        <v>800</v>
      </c>
      <c r="AK84" s="220">
        <f t="shared" si="116"/>
        <v>385</v>
      </c>
      <c r="AL84" s="221">
        <f t="shared" si="117"/>
        <v>412</v>
      </c>
      <c r="AM84" s="221">
        <f t="shared" si="118"/>
        <v>496</v>
      </c>
      <c r="AN84" s="221">
        <f t="shared" si="119"/>
        <v>572</v>
      </c>
      <c r="AO84" s="222">
        <f t="shared" si="120"/>
        <v>640</v>
      </c>
      <c r="AP84" s="223">
        <f t="shared" si="121"/>
        <v>289</v>
      </c>
      <c r="AQ84" s="224">
        <f t="shared" si="122"/>
        <v>309</v>
      </c>
      <c r="AR84" s="224">
        <f t="shared" si="123"/>
        <v>372</v>
      </c>
      <c r="AS84" s="224">
        <f t="shared" si="124"/>
        <v>429</v>
      </c>
      <c r="AT84" s="225">
        <f t="shared" si="125"/>
        <v>480</v>
      </c>
    </row>
    <row r="85" spans="1:46" x14ac:dyDescent="0.25">
      <c r="A85" s="11"/>
      <c r="B85" s="11" t="s">
        <v>119</v>
      </c>
      <c r="C85" s="220">
        <f t="shared" si="88"/>
        <v>20760</v>
      </c>
      <c r="D85" s="221">
        <f t="shared" si="89"/>
        <v>23760</v>
      </c>
      <c r="E85" s="221">
        <f t="shared" si="90"/>
        <v>26700</v>
      </c>
      <c r="F85" s="221">
        <f t="shared" si="91"/>
        <v>29640</v>
      </c>
      <c r="G85" s="221">
        <f t="shared" si="92"/>
        <v>32040</v>
      </c>
      <c r="H85" s="222">
        <f t="shared" si="93"/>
        <v>34440</v>
      </c>
      <c r="I85" s="217">
        <f>'MTSP Income Limits'!G83</f>
        <v>17300</v>
      </c>
      <c r="J85" s="218">
        <f>'MTSP Income Limits'!H83</f>
        <v>19800</v>
      </c>
      <c r="K85" s="218">
        <f>'MTSP Income Limits'!I83</f>
        <v>22250</v>
      </c>
      <c r="L85" s="218">
        <f>'MTSP Income Limits'!J83</f>
        <v>24700</v>
      </c>
      <c r="M85" s="218">
        <f>'MTSP Income Limits'!K83</f>
        <v>26700</v>
      </c>
      <c r="N85" s="219">
        <f>'MTSP Income Limits'!L83</f>
        <v>28700</v>
      </c>
      <c r="O85" s="220">
        <f t="shared" si="94"/>
        <v>13840</v>
      </c>
      <c r="P85" s="221">
        <f t="shared" si="95"/>
        <v>15840</v>
      </c>
      <c r="Q85" s="221">
        <f t="shared" si="96"/>
        <v>17800</v>
      </c>
      <c r="R85" s="221">
        <f t="shared" si="97"/>
        <v>19760</v>
      </c>
      <c r="S85" s="221">
        <f t="shared" si="98"/>
        <v>21360</v>
      </c>
      <c r="T85" s="222">
        <f t="shared" si="99"/>
        <v>22960</v>
      </c>
      <c r="U85" s="223">
        <f t="shared" si="100"/>
        <v>10380</v>
      </c>
      <c r="V85" s="224">
        <f t="shared" si="101"/>
        <v>11880</v>
      </c>
      <c r="W85" s="224">
        <f t="shared" si="102"/>
        <v>13350</v>
      </c>
      <c r="X85" s="224">
        <f t="shared" si="103"/>
        <v>14820</v>
      </c>
      <c r="Y85" s="224">
        <f t="shared" si="104"/>
        <v>16020</v>
      </c>
      <c r="Z85" s="224">
        <f t="shared" si="105"/>
        <v>17220</v>
      </c>
      <c r="AA85" s="220">
        <f t="shared" si="106"/>
        <v>518</v>
      </c>
      <c r="AB85" s="221">
        <f t="shared" si="107"/>
        <v>555</v>
      </c>
      <c r="AC85" s="221">
        <f t="shared" si="108"/>
        <v>667</v>
      </c>
      <c r="AD85" s="221">
        <f t="shared" si="109"/>
        <v>770</v>
      </c>
      <c r="AE85" s="222">
        <f t="shared" si="110"/>
        <v>860</v>
      </c>
      <c r="AF85" s="223">
        <f t="shared" si="111"/>
        <v>432</v>
      </c>
      <c r="AG85" s="224">
        <f t="shared" si="112"/>
        <v>463</v>
      </c>
      <c r="AH85" s="224">
        <f t="shared" si="113"/>
        <v>556</v>
      </c>
      <c r="AI85" s="224">
        <f t="shared" si="114"/>
        <v>642</v>
      </c>
      <c r="AJ85" s="225">
        <f t="shared" si="115"/>
        <v>717</v>
      </c>
      <c r="AK85" s="220">
        <f t="shared" si="116"/>
        <v>345</v>
      </c>
      <c r="AL85" s="221">
        <f t="shared" si="117"/>
        <v>370</v>
      </c>
      <c r="AM85" s="221">
        <f t="shared" si="118"/>
        <v>444</v>
      </c>
      <c r="AN85" s="221">
        <f t="shared" si="119"/>
        <v>513</v>
      </c>
      <c r="AO85" s="222">
        <f t="shared" si="120"/>
        <v>573</v>
      </c>
      <c r="AP85" s="223">
        <f t="shared" si="121"/>
        <v>259</v>
      </c>
      <c r="AQ85" s="224">
        <f t="shared" si="122"/>
        <v>277</v>
      </c>
      <c r="AR85" s="224">
        <f t="shared" si="123"/>
        <v>333</v>
      </c>
      <c r="AS85" s="224">
        <f t="shared" si="124"/>
        <v>385</v>
      </c>
      <c r="AT85" s="225">
        <f t="shared" si="125"/>
        <v>430</v>
      </c>
    </row>
    <row r="86" spans="1:46" x14ac:dyDescent="0.25">
      <c r="A86" s="11"/>
      <c r="B86" s="11" t="s">
        <v>120</v>
      </c>
      <c r="C86" s="220">
        <f t="shared" si="88"/>
        <v>20760</v>
      </c>
      <c r="D86" s="221">
        <f t="shared" si="89"/>
        <v>23760</v>
      </c>
      <c r="E86" s="221">
        <f t="shared" si="90"/>
        <v>26700</v>
      </c>
      <c r="F86" s="221">
        <f t="shared" si="91"/>
        <v>29640</v>
      </c>
      <c r="G86" s="221">
        <f t="shared" si="92"/>
        <v>32040</v>
      </c>
      <c r="H86" s="222">
        <f t="shared" si="93"/>
        <v>34440</v>
      </c>
      <c r="I86" s="217">
        <f>'MTSP Income Limits'!G84</f>
        <v>17300</v>
      </c>
      <c r="J86" s="218">
        <f>'MTSP Income Limits'!H84</f>
        <v>19800</v>
      </c>
      <c r="K86" s="218">
        <f>'MTSP Income Limits'!I84</f>
        <v>22250</v>
      </c>
      <c r="L86" s="218">
        <f>'MTSP Income Limits'!J84</f>
        <v>24700</v>
      </c>
      <c r="M86" s="218">
        <f>'MTSP Income Limits'!K84</f>
        <v>26700</v>
      </c>
      <c r="N86" s="219">
        <f>'MTSP Income Limits'!L84</f>
        <v>28700</v>
      </c>
      <c r="O86" s="220">
        <f t="shared" si="94"/>
        <v>13840</v>
      </c>
      <c r="P86" s="221">
        <f t="shared" si="95"/>
        <v>15840</v>
      </c>
      <c r="Q86" s="221">
        <f t="shared" si="96"/>
        <v>17800</v>
      </c>
      <c r="R86" s="221">
        <f t="shared" si="97"/>
        <v>19760</v>
      </c>
      <c r="S86" s="221">
        <f t="shared" si="98"/>
        <v>21360</v>
      </c>
      <c r="T86" s="222">
        <f t="shared" si="99"/>
        <v>22960</v>
      </c>
      <c r="U86" s="223">
        <f t="shared" si="100"/>
        <v>10380</v>
      </c>
      <c r="V86" s="224">
        <f t="shared" si="101"/>
        <v>11880</v>
      </c>
      <c r="W86" s="224">
        <f t="shared" si="102"/>
        <v>13350</v>
      </c>
      <c r="X86" s="224">
        <f t="shared" si="103"/>
        <v>14820</v>
      </c>
      <c r="Y86" s="224">
        <f t="shared" si="104"/>
        <v>16020</v>
      </c>
      <c r="Z86" s="224">
        <f t="shared" si="105"/>
        <v>17220</v>
      </c>
      <c r="AA86" s="220">
        <f t="shared" si="106"/>
        <v>518</v>
      </c>
      <c r="AB86" s="221">
        <f t="shared" si="107"/>
        <v>555</v>
      </c>
      <c r="AC86" s="221">
        <f t="shared" si="108"/>
        <v>667</v>
      </c>
      <c r="AD86" s="221">
        <f t="shared" si="109"/>
        <v>770</v>
      </c>
      <c r="AE86" s="222">
        <f t="shared" si="110"/>
        <v>860</v>
      </c>
      <c r="AF86" s="223">
        <f t="shared" si="111"/>
        <v>432</v>
      </c>
      <c r="AG86" s="224">
        <f t="shared" si="112"/>
        <v>463</v>
      </c>
      <c r="AH86" s="224">
        <f t="shared" si="113"/>
        <v>556</v>
      </c>
      <c r="AI86" s="224">
        <f t="shared" si="114"/>
        <v>642</v>
      </c>
      <c r="AJ86" s="225">
        <f t="shared" si="115"/>
        <v>717</v>
      </c>
      <c r="AK86" s="220">
        <f t="shared" si="116"/>
        <v>345</v>
      </c>
      <c r="AL86" s="221">
        <f t="shared" si="117"/>
        <v>370</v>
      </c>
      <c r="AM86" s="221">
        <f t="shared" si="118"/>
        <v>444</v>
      </c>
      <c r="AN86" s="221">
        <f t="shared" si="119"/>
        <v>513</v>
      </c>
      <c r="AO86" s="222">
        <f t="shared" si="120"/>
        <v>573</v>
      </c>
      <c r="AP86" s="223">
        <f t="shared" si="121"/>
        <v>259</v>
      </c>
      <c r="AQ86" s="224">
        <f t="shared" si="122"/>
        <v>277</v>
      </c>
      <c r="AR86" s="224">
        <f t="shared" si="123"/>
        <v>333</v>
      </c>
      <c r="AS86" s="224">
        <f t="shared" si="124"/>
        <v>385</v>
      </c>
      <c r="AT86" s="225">
        <f t="shared" si="125"/>
        <v>430</v>
      </c>
    </row>
    <row r="87" spans="1:46" x14ac:dyDescent="0.25">
      <c r="A87" s="11"/>
      <c r="B87" s="11" t="s">
        <v>121</v>
      </c>
      <c r="C87" s="220">
        <f t="shared" si="88"/>
        <v>20760</v>
      </c>
      <c r="D87" s="221">
        <f t="shared" si="89"/>
        <v>23760</v>
      </c>
      <c r="E87" s="221">
        <f t="shared" si="90"/>
        <v>26700</v>
      </c>
      <c r="F87" s="221">
        <f t="shared" si="91"/>
        <v>29640</v>
      </c>
      <c r="G87" s="221">
        <f t="shared" si="92"/>
        <v>32040</v>
      </c>
      <c r="H87" s="222">
        <f t="shared" si="93"/>
        <v>34440</v>
      </c>
      <c r="I87" s="217">
        <f>'MTSP Income Limits'!G85</f>
        <v>17300</v>
      </c>
      <c r="J87" s="218">
        <f>'MTSP Income Limits'!H85</f>
        <v>19800</v>
      </c>
      <c r="K87" s="218">
        <f>'MTSP Income Limits'!I85</f>
        <v>22250</v>
      </c>
      <c r="L87" s="218">
        <f>'MTSP Income Limits'!J85</f>
        <v>24700</v>
      </c>
      <c r="M87" s="218">
        <f>'MTSP Income Limits'!K85</f>
        <v>26700</v>
      </c>
      <c r="N87" s="219">
        <f>'MTSP Income Limits'!L85</f>
        <v>28700</v>
      </c>
      <c r="O87" s="220">
        <f t="shared" si="94"/>
        <v>13840</v>
      </c>
      <c r="P87" s="221">
        <f t="shared" si="95"/>
        <v>15840</v>
      </c>
      <c r="Q87" s="221">
        <f t="shared" si="96"/>
        <v>17800</v>
      </c>
      <c r="R87" s="221">
        <f t="shared" si="97"/>
        <v>19760</v>
      </c>
      <c r="S87" s="221">
        <f t="shared" si="98"/>
        <v>21360</v>
      </c>
      <c r="T87" s="222">
        <f t="shared" si="99"/>
        <v>22960</v>
      </c>
      <c r="U87" s="223">
        <f t="shared" si="100"/>
        <v>10380</v>
      </c>
      <c r="V87" s="224">
        <f t="shared" si="101"/>
        <v>11880</v>
      </c>
      <c r="W87" s="224">
        <f t="shared" si="102"/>
        <v>13350</v>
      </c>
      <c r="X87" s="224">
        <f t="shared" si="103"/>
        <v>14820</v>
      </c>
      <c r="Y87" s="224">
        <f t="shared" si="104"/>
        <v>16020</v>
      </c>
      <c r="Z87" s="224">
        <f t="shared" si="105"/>
        <v>17220</v>
      </c>
      <c r="AA87" s="220">
        <f t="shared" si="106"/>
        <v>518</v>
      </c>
      <c r="AB87" s="221">
        <f t="shared" si="107"/>
        <v>555</v>
      </c>
      <c r="AC87" s="221">
        <f t="shared" si="108"/>
        <v>667</v>
      </c>
      <c r="AD87" s="221">
        <f t="shared" si="109"/>
        <v>770</v>
      </c>
      <c r="AE87" s="222">
        <f t="shared" si="110"/>
        <v>860</v>
      </c>
      <c r="AF87" s="223">
        <f t="shared" si="111"/>
        <v>432</v>
      </c>
      <c r="AG87" s="224">
        <f t="shared" si="112"/>
        <v>463</v>
      </c>
      <c r="AH87" s="224">
        <f t="shared" si="113"/>
        <v>556</v>
      </c>
      <c r="AI87" s="224">
        <f t="shared" si="114"/>
        <v>642</v>
      </c>
      <c r="AJ87" s="225">
        <f t="shared" si="115"/>
        <v>717</v>
      </c>
      <c r="AK87" s="220">
        <f t="shared" si="116"/>
        <v>345</v>
      </c>
      <c r="AL87" s="221">
        <f t="shared" si="117"/>
        <v>370</v>
      </c>
      <c r="AM87" s="221">
        <f t="shared" si="118"/>
        <v>444</v>
      </c>
      <c r="AN87" s="221">
        <f t="shared" si="119"/>
        <v>513</v>
      </c>
      <c r="AO87" s="222">
        <f t="shared" si="120"/>
        <v>573</v>
      </c>
      <c r="AP87" s="223">
        <f t="shared" si="121"/>
        <v>259</v>
      </c>
      <c r="AQ87" s="224">
        <f t="shared" si="122"/>
        <v>277</v>
      </c>
      <c r="AR87" s="224">
        <f t="shared" si="123"/>
        <v>333</v>
      </c>
      <c r="AS87" s="224">
        <f t="shared" si="124"/>
        <v>385</v>
      </c>
      <c r="AT87" s="225">
        <f t="shared" si="125"/>
        <v>430</v>
      </c>
    </row>
    <row r="88" spans="1:46" x14ac:dyDescent="0.25">
      <c r="A88" s="11"/>
      <c r="B88" s="11" t="s">
        <v>122</v>
      </c>
      <c r="C88" s="220">
        <f t="shared" si="88"/>
        <v>21660</v>
      </c>
      <c r="D88" s="221">
        <f t="shared" si="89"/>
        <v>24720</v>
      </c>
      <c r="E88" s="221">
        <f t="shared" si="90"/>
        <v>27840</v>
      </c>
      <c r="F88" s="221">
        <f t="shared" si="91"/>
        <v>30900</v>
      </c>
      <c r="G88" s="221">
        <f t="shared" si="92"/>
        <v>33420</v>
      </c>
      <c r="H88" s="222">
        <f t="shared" si="93"/>
        <v>35880</v>
      </c>
      <c r="I88" s="217">
        <f>'MTSP Income Limits'!G86</f>
        <v>18050</v>
      </c>
      <c r="J88" s="218">
        <f>'MTSP Income Limits'!H86</f>
        <v>20600</v>
      </c>
      <c r="K88" s="218">
        <f>'MTSP Income Limits'!I86</f>
        <v>23200</v>
      </c>
      <c r="L88" s="218">
        <f>'MTSP Income Limits'!J86</f>
        <v>25750</v>
      </c>
      <c r="M88" s="218">
        <f>'MTSP Income Limits'!K86</f>
        <v>27850</v>
      </c>
      <c r="N88" s="219">
        <f>'MTSP Income Limits'!L86</f>
        <v>29900</v>
      </c>
      <c r="O88" s="220">
        <f t="shared" si="94"/>
        <v>14440</v>
      </c>
      <c r="P88" s="221">
        <f t="shared" si="95"/>
        <v>16480</v>
      </c>
      <c r="Q88" s="221">
        <f t="shared" si="96"/>
        <v>18560</v>
      </c>
      <c r="R88" s="221">
        <f t="shared" si="97"/>
        <v>20600</v>
      </c>
      <c r="S88" s="221">
        <f t="shared" si="98"/>
        <v>22280</v>
      </c>
      <c r="T88" s="222">
        <f t="shared" si="99"/>
        <v>23920</v>
      </c>
      <c r="U88" s="223">
        <f t="shared" si="100"/>
        <v>10830</v>
      </c>
      <c r="V88" s="224">
        <f t="shared" si="101"/>
        <v>12360</v>
      </c>
      <c r="W88" s="224">
        <f t="shared" si="102"/>
        <v>13920</v>
      </c>
      <c r="X88" s="224">
        <f t="shared" si="103"/>
        <v>15450</v>
      </c>
      <c r="Y88" s="224">
        <f t="shared" si="104"/>
        <v>16710</v>
      </c>
      <c r="Z88" s="224">
        <f t="shared" si="105"/>
        <v>17940</v>
      </c>
      <c r="AA88" s="220">
        <f t="shared" si="106"/>
        <v>541</v>
      </c>
      <c r="AB88" s="221">
        <f t="shared" si="107"/>
        <v>579</v>
      </c>
      <c r="AC88" s="221">
        <f t="shared" si="108"/>
        <v>696</v>
      </c>
      <c r="AD88" s="221">
        <f t="shared" si="109"/>
        <v>804</v>
      </c>
      <c r="AE88" s="222">
        <f t="shared" si="110"/>
        <v>896</v>
      </c>
      <c r="AF88" s="223">
        <f t="shared" si="111"/>
        <v>451</v>
      </c>
      <c r="AG88" s="224">
        <f t="shared" si="112"/>
        <v>483</v>
      </c>
      <c r="AH88" s="224">
        <f t="shared" si="113"/>
        <v>580</v>
      </c>
      <c r="AI88" s="224">
        <f t="shared" si="114"/>
        <v>670</v>
      </c>
      <c r="AJ88" s="225">
        <f t="shared" si="115"/>
        <v>747</v>
      </c>
      <c r="AK88" s="220">
        <f t="shared" si="116"/>
        <v>360</v>
      </c>
      <c r="AL88" s="221">
        <f t="shared" si="117"/>
        <v>386</v>
      </c>
      <c r="AM88" s="221">
        <f t="shared" si="118"/>
        <v>464</v>
      </c>
      <c r="AN88" s="221">
        <f t="shared" si="119"/>
        <v>536</v>
      </c>
      <c r="AO88" s="222">
        <f t="shared" si="120"/>
        <v>597</v>
      </c>
      <c r="AP88" s="223">
        <f t="shared" si="121"/>
        <v>270</v>
      </c>
      <c r="AQ88" s="224">
        <f t="shared" si="122"/>
        <v>289</v>
      </c>
      <c r="AR88" s="224">
        <f t="shared" si="123"/>
        <v>348</v>
      </c>
      <c r="AS88" s="224">
        <f t="shared" si="124"/>
        <v>402</v>
      </c>
      <c r="AT88" s="225">
        <f t="shared" si="125"/>
        <v>448</v>
      </c>
    </row>
    <row r="89" spans="1:46" x14ac:dyDescent="0.25">
      <c r="A89" s="11"/>
      <c r="B89" s="11" t="s">
        <v>123</v>
      </c>
      <c r="C89" s="220">
        <f t="shared" si="88"/>
        <v>20760</v>
      </c>
      <c r="D89" s="221">
        <f t="shared" si="89"/>
        <v>23760</v>
      </c>
      <c r="E89" s="221">
        <f t="shared" si="90"/>
        <v>26700</v>
      </c>
      <c r="F89" s="221">
        <f t="shared" si="91"/>
        <v>29640</v>
      </c>
      <c r="G89" s="221">
        <f t="shared" si="92"/>
        <v>32040</v>
      </c>
      <c r="H89" s="222">
        <f t="shared" si="93"/>
        <v>34440</v>
      </c>
      <c r="I89" s="217">
        <f>'MTSP Income Limits'!G87</f>
        <v>17300</v>
      </c>
      <c r="J89" s="218">
        <f>'MTSP Income Limits'!H87</f>
        <v>19800</v>
      </c>
      <c r="K89" s="218">
        <f>'MTSP Income Limits'!I87</f>
        <v>22250</v>
      </c>
      <c r="L89" s="218">
        <f>'MTSP Income Limits'!J87</f>
        <v>24700</v>
      </c>
      <c r="M89" s="218">
        <f>'MTSP Income Limits'!K87</f>
        <v>26700</v>
      </c>
      <c r="N89" s="219">
        <f>'MTSP Income Limits'!L87</f>
        <v>28700</v>
      </c>
      <c r="O89" s="220">
        <f t="shared" si="94"/>
        <v>13840</v>
      </c>
      <c r="P89" s="221">
        <f t="shared" si="95"/>
        <v>15840</v>
      </c>
      <c r="Q89" s="221">
        <f t="shared" si="96"/>
        <v>17800</v>
      </c>
      <c r="R89" s="221">
        <f t="shared" si="97"/>
        <v>19760</v>
      </c>
      <c r="S89" s="221">
        <f t="shared" si="98"/>
        <v>21360</v>
      </c>
      <c r="T89" s="222">
        <f t="shared" si="99"/>
        <v>22960</v>
      </c>
      <c r="U89" s="223">
        <f t="shared" si="100"/>
        <v>10380</v>
      </c>
      <c r="V89" s="224">
        <f t="shared" si="101"/>
        <v>11880</v>
      </c>
      <c r="W89" s="224">
        <f t="shared" si="102"/>
        <v>13350</v>
      </c>
      <c r="X89" s="224">
        <f t="shared" si="103"/>
        <v>14820</v>
      </c>
      <c r="Y89" s="224">
        <f t="shared" si="104"/>
        <v>16020</v>
      </c>
      <c r="Z89" s="224">
        <f t="shared" si="105"/>
        <v>17220</v>
      </c>
      <c r="AA89" s="220">
        <f t="shared" si="106"/>
        <v>518</v>
      </c>
      <c r="AB89" s="221">
        <f t="shared" si="107"/>
        <v>555</v>
      </c>
      <c r="AC89" s="221">
        <f t="shared" si="108"/>
        <v>667</v>
      </c>
      <c r="AD89" s="221">
        <f t="shared" si="109"/>
        <v>770</v>
      </c>
      <c r="AE89" s="222">
        <f t="shared" si="110"/>
        <v>860</v>
      </c>
      <c r="AF89" s="223">
        <f t="shared" si="111"/>
        <v>432</v>
      </c>
      <c r="AG89" s="224">
        <f t="shared" si="112"/>
        <v>463</v>
      </c>
      <c r="AH89" s="224">
        <f t="shared" si="113"/>
        <v>556</v>
      </c>
      <c r="AI89" s="224">
        <f t="shared" si="114"/>
        <v>642</v>
      </c>
      <c r="AJ89" s="225">
        <f t="shared" si="115"/>
        <v>717</v>
      </c>
      <c r="AK89" s="220">
        <f t="shared" si="116"/>
        <v>345</v>
      </c>
      <c r="AL89" s="221">
        <f t="shared" si="117"/>
        <v>370</v>
      </c>
      <c r="AM89" s="221">
        <f t="shared" si="118"/>
        <v>444</v>
      </c>
      <c r="AN89" s="221">
        <f t="shared" si="119"/>
        <v>513</v>
      </c>
      <c r="AO89" s="222">
        <f t="shared" si="120"/>
        <v>573</v>
      </c>
      <c r="AP89" s="223">
        <f t="shared" si="121"/>
        <v>259</v>
      </c>
      <c r="AQ89" s="224">
        <f t="shared" si="122"/>
        <v>277</v>
      </c>
      <c r="AR89" s="224">
        <f t="shared" si="123"/>
        <v>333</v>
      </c>
      <c r="AS89" s="224">
        <f t="shared" si="124"/>
        <v>385</v>
      </c>
      <c r="AT89" s="225">
        <f t="shared" si="125"/>
        <v>430</v>
      </c>
    </row>
    <row r="90" spans="1:46" x14ac:dyDescent="0.25">
      <c r="A90" s="11"/>
      <c r="B90" s="11" t="s">
        <v>124</v>
      </c>
      <c r="C90" s="220">
        <f t="shared" si="88"/>
        <v>20760</v>
      </c>
      <c r="D90" s="221">
        <f t="shared" si="89"/>
        <v>23760</v>
      </c>
      <c r="E90" s="221">
        <f t="shared" si="90"/>
        <v>26700</v>
      </c>
      <c r="F90" s="221">
        <f t="shared" si="91"/>
        <v>29640</v>
      </c>
      <c r="G90" s="221">
        <f t="shared" si="92"/>
        <v>32040</v>
      </c>
      <c r="H90" s="222">
        <f t="shared" si="93"/>
        <v>34440</v>
      </c>
      <c r="I90" s="217">
        <f>'MTSP Income Limits'!G88</f>
        <v>17300</v>
      </c>
      <c r="J90" s="218">
        <f>'MTSP Income Limits'!H88</f>
        <v>19800</v>
      </c>
      <c r="K90" s="218">
        <f>'MTSP Income Limits'!I88</f>
        <v>22250</v>
      </c>
      <c r="L90" s="218">
        <f>'MTSP Income Limits'!J88</f>
        <v>24700</v>
      </c>
      <c r="M90" s="218">
        <f>'MTSP Income Limits'!K88</f>
        <v>26700</v>
      </c>
      <c r="N90" s="219">
        <f>'MTSP Income Limits'!L88</f>
        <v>28700</v>
      </c>
      <c r="O90" s="220">
        <f t="shared" si="94"/>
        <v>13840</v>
      </c>
      <c r="P90" s="221">
        <f t="shared" si="95"/>
        <v>15840</v>
      </c>
      <c r="Q90" s="221">
        <f t="shared" si="96"/>
        <v>17800</v>
      </c>
      <c r="R90" s="221">
        <f t="shared" si="97"/>
        <v>19760</v>
      </c>
      <c r="S90" s="221">
        <f t="shared" si="98"/>
        <v>21360</v>
      </c>
      <c r="T90" s="222">
        <f t="shared" si="99"/>
        <v>22960</v>
      </c>
      <c r="U90" s="223">
        <f t="shared" si="100"/>
        <v>10380</v>
      </c>
      <c r="V90" s="224">
        <f t="shared" si="101"/>
        <v>11880</v>
      </c>
      <c r="W90" s="224">
        <f t="shared" si="102"/>
        <v>13350</v>
      </c>
      <c r="X90" s="224">
        <f t="shared" si="103"/>
        <v>14820</v>
      </c>
      <c r="Y90" s="224">
        <f t="shared" si="104"/>
        <v>16020</v>
      </c>
      <c r="Z90" s="224">
        <f t="shared" si="105"/>
        <v>17220</v>
      </c>
      <c r="AA90" s="220">
        <f t="shared" si="106"/>
        <v>518</v>
      </c>
      <c r="AB90" s="221">
        <f t="shared" si="107"/>
        <v>555</v>
      </c>
      <c r="AC90" s="221">
        <f t="shared" si="108"/>
        <v>667</v>
      </c>
      <c r="AD90" s="221">
        <f t="shared" si="109"/>
        <v>770</v>
      </c>
      <c r="AE90" s="222">
        <f t="shared" si="110"/>
        <v>860</v>
      </c>
      <c r="AF90" s="223">
        <f t="shared" si="111"/>
        <v>432</v>
      </c>
      <c r="AG90" s="224">
        <f t="shared" si="112"/>
        <v>463</v>
      </c>
      <c r="AH90" s="224">
        <f t="shared" si="113"/>
        <v>556</v>
      </c>
      <c r="AI90" s="224">
        <f t="shared" si="114"/>
        <v>642</v>
      </c>
      <c r="AJ90" s="225">
        <f t="shared" si="115"/>
        <v>717</v>
      </c>
      <c r="AK90" s="220">
        <f t="shared" si="116"/>
        <v>345</v>
      </c>
      <c r="AL90" s="221">
        <f t="shared" si="117"/>
        <v>370</v>
      </c>
      <c r="AM90" s="221">
        <f t="shared" si="118"/>
        <v>444</v>
      </c>
      <c r="AN90" s="221">
        <f t="shared" si="119"/>
        <v>513</v>
      </c>
      <c r="AO90" s="222">
        <f t="shared" si="120"/>
        <v>573</v>
      </c>
      <c r="AP90" s="223">
        <f t="shared" si="121"/>
        <v>259</v>
      </c>
      <c r="AQ90" s="224">
        <f t="shared" si="122"/>
        <v>277</v>
      </c>
      <c r="AR90" s="224">
        <f t="shared" si="123"/>
        <v>333</v>
      </c>
      <c r="AS90" s="224">
        <f t="shared" si="124"/>
        <v>385</v>
      </c>
      <c r="AT90" s="225">
        <f t="shared" si="125"/>
        <v>430</v>
      </c>
    </row>
    <row r="91" spans="1:46" x14ac:dyDescent="0.25">
      <c r="A91" s="11"/>
      <c r="B91" s="11" t="s">
        <v>125</v>
      </c>
      <c r="C91" s="220">
        <f t="shared" si="88"/>
        <v>20760</v>
      </c>
      <c r="D91" s="221">
        <f t="shared" si="89"/>
        <v>23760</v>
      </c>
      <c r="E91" s="221">
        <f t="shared" si="90"/>
        <v>26700</v>
      </c>
      <c r="F91" s="221">
        <f t="shared" si="91"/>
        <v>29640</v>
      </c>
      <c r="G91" s="221">
        <f t="shared" si="92"/>
        <v>32040</v>
      </c>
      <c r="H91" s="222">
        <f t="shared" si="93"/>
        <v>34440</v>
      </c>
      <c r="I91" s="217">
        <f>'MTSP Income Limits'!G89</f>
        <v>17300</v>
      </c>
      <c r="J91" s="218">
        <f>'MTSP Income Limits'!H89</f>
        <v>19800</v>
      </c>
      <c r="K91" s="218">
        <f>'MTSP Income Limits'!I89</f>
        <v>22250</v>
      </c>
      <c r="L91" s="218">
        <f>'MTSP Income Limits'!J89</f>
        <v>24700</v>
      </c>
      <c r="M91" s="218">
        <f>'MTSP Income Limits'!K89</f>
        <v>26700</v>
      </c>
      <c r="N91" s="219">
        <f>'MTSP Income Limits'!L89</f>
        <v>28700</v>
      </c>
      <c r="O91" s="220">
        <f t="shared" si="94"/>
        <v>13840</v>
      </c>
      <c r="P91" s="221">
        <f t="shared" si="95"/>
        <v>15840</v>
      </c>
      <c r="Q91" s="221">
        <f t="shared" si="96"/>
        <v>17800</v>
      </c>
      <c r="R91" s="221">
        <f t="shared" si="97"/>
        <v>19760</v>
      </c>
      <c r="S91" s="221">
        <f t="shared" si="98"/>
        <v>21360</v>
      </c>
      <c r="T91" s="222">
        <f t="shared" si="99"/>
        <v>22960</v>
      </c>
      <c r="U91" s="223">
        <f t="shared" si="100"/>
        <v>10380</v>
      </c>
      <c r="V91" s="224">
        <f t="shared" si="101"/>
        <v>11880</v>
      </c>
      <c r="W91" s="224">
        <f t="shared" si="102"/>
        <v>13350</v>
      </c>
      <c r="X91" s="224">
        <f t="shared" si="103"/>
        <v>14820</v>
      </c>
      <c r="Y91" s="224">
        <f t="shared" si="104"/>
        <v>16020</v>
      </c>
      <c r="Z91" s="224">
        <f t="shared" si="105"/>
        <v>17220</v>
      </c>
      <c r="AA91" s="220">
        <f t="shared" si="106"/>
        <v>518</v>
      </c>
      <c r="AB91" s="221">
        <f t="shared" si="107"/>
        <v>555</v>
      </c>
      <c r="AC91" s="221">
        <f t="shared" si="108"/>
        <v>667</v>
      </c>
      <c r="AD91" s="221">
        <f t="shared" si="109"/>
        <v>770</v>
      </c>
      <c r="AE91" s="222">
        <f t="shared" si="110"/>
        <v>860</v>
      </c>
      <c r="AF91" s="223">
        <f t="shared" si="111"/>
        <v>432</v>
      </c>
      <c r="AG91" s="224">
        <f t="shared" si="112"/>
        <v>463</v>
      </c>
      <c r="AH91" s="224">
        <f t="shared" si="113"/>
        <v>556</v>
      </c>
      <c r="AI91" s="224">
        <f t="shared" si="114"/>
        <v>642</v>
      </c>
      <c r="AJ91" s="225">
        <f t="shared" si="115"/>
        <v>717</v>
      </c>
      <c r="AK91" s="220">
        <f t="shared" si="116"/>
        <v>345</v>
      </c>
      <c r="AL91" s="221">
        <f t="shared" si="117"/>
        <v>370</v>
      </c>
      <c r="AM91" s="221">
        <f t="shared" si="118"/>
        <v>444</v>
      </c>
      <c r="AN91" s="221">
        <f t="shared" si="119"/>
        <v>513</v>
      </c>
      <c r="AO91" s="222">
        <f t="shared" si="120"/>
        <v>573</v>
      </c>
      <c r="AP91" s="223">
        <f t="shared" si="121"/>
        <v>259</v>
      </c>
      <c r="AQ91" s="224">
        <f t="shared" si="122"/>
        <v>277</v>
      </c>
      <c r="AR91" s="224">
        <f t="shared" si="123"/>
        <v>333</v>
      </c>
      <c r="AS91" s="224">
        <f t="shared" si="124"/>
        <v>385</v>
      </c>
      <c r="AT91" s="225">
        <f t="shared" si="125"/>
        <v>430</v>
      </c>
    </row>
    <row r="92" spans="1:46" x14ac:dyDescent="0.25">
      <c r="A92" s="11"/>
      <c r="B92" s="11" t="s">
        <v>126</v>
      </c>
      <c r="C92" s="220">
        <f t="shared" si="88"/>
        <v>24960</v>
      </c>
      <c r="D92" s="221">
        <f t="shared" si="89"/>
        <v>28560</v>
      </c>
      <c r="E92" s="221">
        <f t="shared" si="90"/>
        <v>32100</v>
      </c>
      <c r="F92" s="221">
        <f t="shared" si="91"/>
        <v>35640</v>
      </c>
      <c r="G92" s="221">
        <f t="shared" si="92"/>
        <v>38520</v>
      </c>
      <c r="H92" s="222">
        <f t="shared" si="93"/>
        <v>41400</v>
      </c>
      <c r="I92" s="217">
        <f>'MTSP Income Limits'!G90</f>
        <v>20800</v>
      </c>
      <c r="J92" s="218">
        <f>'MTSP Income Limits'!H90</f>
        <v>23800</v>
      </c>
      <c r="K92" s="218">
        <f>'MTSP Income Limits'!I90</f>
        <v>26750</v>
      </c>
      <c r="L92" s="218">
        <f>'MTSP Income Limits'!J90</f>
        <v>29700</v>
      </c>
      <c r="M92" s="218">
        <f>'MTSP Income Limits'!K90</f>
        <v>32100</v>
      </c>
      <c r="N92" s="219">
        <f>'MTSP Income Limits'!L90</f>
        <v>34500</v>
      </c>
      <c r="O92" s="220">
        <f t="shared" si="94"/>
        <v>16640</v>
      </c>
      <c r="P92" s="221">
        <f t="shared" si="95"/>
        <v>19040</v>
      </c>
      <c r="Q92" s="221">
        <f t="shared" si="96"/>
        <v>21400</v>
      </c>
      <c r="R92" s="221">
        <f t="shared" si="97"/>
        <v>23760</v>
      </c>
      <c r="S92" s="221">
        <f t="shared" si="98"/>
        <v>25680</v>
      </c>
      <c r="T92" s="222">
        <f t="shared" si="99"/>
        <v>27600</v>
      </c>
      <c r="U92" s="223">
        <f t="shared" si="100"/>
        <v>12480</v>
      </c>
      <c r="V92" s="224">
        <f t="shared" si="101"/>
        <v>14280</v>
      </c>
      <c r="W92" s="224">
        <f t="shared" si="102"/>
        <v>16050</v>
      </c>
      <c r="X92" s="224">
        <f t="shared" si="103"/>
        <v>17820</v>
      </c>
      <c r="Y92" s="224">
        <f t="shared" si="104"/>
        <v>19260</v>
      </c>
      <c r="Z92" s="224">
        <f t="shared" si="105"/>
        <v>20700</v>
      </c>
      <c r="AA92" s="220">
        <f t="shared" si="106"/>
        <v>624</v>
      </c>
      <c r="AB92" s="221">
        <f t="shared" si="107"/>
        <v>668</v>
      </c>
      <c r="AC92" s="221">
        <f t="shared" si="108"/>
        <v>801</v>
      </c>
      <c r="AD92" s="221">
        <f t="shared" si="109"/>
        <v>926</v>
      </c>
      <c r="AE92" s="222">
        <f t="shared" si="110"/>
        <v>1034</v>
      </c>
      <c r="AF92" s="223">
        <f t="shared" si="111"/>
        <v>520</v>
      </c>
      <c r="AG92" s="224">
        <f t="shared" si="112"/>
        <v>557</v>
      </c>
      <c r="AH92" s="224">
        <f t="shared" si="113"/>
        <v>668</v>
      </c>
      <c r="AI92" s="224">
        <f t="shared" si="114"/>
        <v>772</v>
      </c>
      <c r="AJ92" s="225">
        <f t="shared" si="115"/>
        <v>862</v>
      </c>
      <c r="AK92" s="220">
        <f t="shared" si="116"/>
        <v>416</v>
      </c>
      <c r="AL92" s="221">
        <f t="shared" si="117"/>
        <v>445</v>
      </c>
      <c r="AM92" s="221">
        <f t="shared" si="118"/>
        <v>534</v>
      </c>
      <c r="AN92" s="221">
        <f t="shared" si="119"/>
        <v>617</v>
      </c>
      <c r="AO92" s="222">
        <f t="shared" si="120"/>
        <v>689</v>
      </c>
      <c r="AP92" s="223">
        <f t="shared" si="121"/>
        <v>312</v>
      </c>
      <c r="AQ92" s="224">
        <f t="shared" si="122"/>
        <v>334</v>
      </c>
      <c r="AR92" s="224">
        <f t="shared" si="123"/>
        <v>400</v>
      </c>
      <c r="AS92" s="224">
        <f t="shared" si="124"/>
        <v>463</v>
      </c>
      <c r="AT92" s="225">
        <f t="shared" si="125"/>
        <v>517</v>
      </c>
    </row>
    <row r="93" spans="1:46" x14ac:dyDescent="0.25">
      <c r="A93" s="11"/>
      <c r="B93" s="11" t="s">
        <v>127</v>
      </c>
      <c r="C93" s="220">
        <f t="shared" si="88"/>
        <v>23820</v>
      </c>
      <c r="D93" s="221">
        <f t="shared" si="89"/>
        <v>27180</v>
      </c>
      <c r="E93" s="221">
        <f t="shared" si="90"/>
        <v>30600</v>
      </c>
      <c r="F93" s="221">
        <f t="shared" si="91"/>
        <v>33960</v>
      </c>
      <c r="G93" s="221">
        <f t="shared" si="92"/>
        <v>36720</v>
      </c>
      <c r="H93" s="222">
        <f t="shared" si="93"/>
        <v>39420</v>
      </c>
      <c r="I93" s="217">
        <f>'MTSP Income Limits'!G91</f>
        <v>19850</v>
      </c>
      <c r="J93" s="218">
        <f>'MTSP Income Limits'!H91</f>
        <v>22650</v>
      </c>
      <c r="K93" s="218">
        <f>'MTSP Income Limits'!I91</f>
        <v>25500</v>
      </c>
      <c r="L93" s="218">
        <f>'MTSP Income Limits'!J91</f>
        <v>28300</v>
      </c>
      <c r="M93" s="218">
        <f>'MTSP Income Limits'!K91</f>
        <v>30600</v>
      </c>
      <c r="N93" s="219">
        <f>'MTSP Income Limits'!L91</f>
        <v>32850</v>
      </c>
      <c r="O93" s="220">
        <f t="shared" si="94"/>
        <v>15880</v>
      </c>
      <c r="P93" s="221">
        <f t="shared" si="95"/>
        <v>18120</v>
      </c>
      <c r="Q93" s="221">
        <f t="shared" si="96"/>
        <v>20400</v>
      </c>
      <c r="R93" s="221">
        <f t="shared" si="97"/>
        <v>22640</v>
      </c>
      <c r="S93" s="221">
        <f t="shared" si="98"/>
        <v>24480</v>
      </c>
      <c r="T93" s="222">
        <f t="shared" si="99"/>
        <v>26280</v>
      </c>
      <c r="U93" s="223">
        <f t="shared" si="100"/>
        <v>11910</v>
      </c>
      <c r="V93" s="224">
        <f t="shared" si="101"/>
        <v>13590</v>
      </c>
      <c r="W93" s="224">
        <f t="shared" si="102"/>
        <v>15300</v>
      </c>
      <c r="X93" s="224">
        <f t="shared" si="103"/>
        <v>16980</v>
      </c>
      <c r="Y93" s="224">
        <f t="shared" si="104"/>
        <v>18360</v>
      </c>
      <c r="Z93" s="224">
        <f t="shared" si="105"/>
        <v>19710</v>
      </c>
      <c r="AA93" s="220">
        <f t="shared" si="106"/>
        <v>595</v>
      </c>
      <c r="AB93" s="221">
        <f t="shared" si="107"/>
        <v>637</v>
      </c>
      <c r="AC93" s="221">
        <f t="shared" si="108"/>
        <v>764</v>
      </c>
      <c r="AD93" s="221">
        <f t="shared" si="109"/>
        <v>883</v>
      </c>
      <c r="AE93" s="222">
        <f t="shared" si="110"/>
        <v>985</v>
      </c>
      <c r="AF93" s="223">
        <f t="shared" si="111"/>
        <v>496</v>
      </c>
      <c r="AG93" s="224">
        <f t="shared" si="112"/>
        <v>531</v>
      </c>
      <c r="AH93" s="224">
        <f t="shared" si="113"/>
        <v>637</v>
      </c>
      <c r="AI93" s="224">
        <f t="shared" si="114"/>
        <v>736</v>
      </c>
      <c r="AJ93" s="225">
        <f t="shared" si="115"/>
        <v>821</v>
      </c>
      <c r="AK93" s="220">
        <f t="shared" si="116"/>
        <v>396</v>
      </c>
      <c r="AL93" s="221">
        <f t="shared" si="117"/>
        <v>424</v>
      </c>
      <c r="AM93" s="221">
        <f t="shared" si="118"/>
        <v>509</v>
      </c>
      <c r="AN93" s="221">
        <f t="shared" si="119"/>
        <v>588</v>
      </c>
      <c r="AO93" s="222">
        <f t="shared" si="120"/>
        <v>656</v>
      </c>
      <c r="AP93" s="223">
        <f t="shared" si="121"/>
        <v>297</v>
      </c>
      <c r="AQ93" s="224">
        <f t="shared" si="122"/>
        <v>318</v>
      </c>
      <c r="AR93" s="224">
        <f t="shared" si="123"/>
        <v>382</v>
      </c>
      <c r="AS93" s="224">
        <f t="shared" si="124"/>
        <v>441</v>
      </c>
      <c r="AT93" s="225">
        <f t="shared" si="125"/>
        <v>492</v>
      </c>
    </row>
    <row r="94" spans="1:46" x14ac:dyDescent="0.25">
      <c r="A94" s="11"/>
      <c r="B94" s="11" t="s">
        <v>128</v>
      </c>
      <c r="C94" s="220">
        <f t="shared" si="88"/>
        <v>20760</v>
      </c>
      <c r="D94" s="221">
        <f t="shared" si="89"/>
        <v>23760</v>
      </c>
      <c r="E94" s="221">
        <f t="shared" si="90"/>
        <v>26700</v>
      </c>
      <c r="F94" s="221">
        <f t="shared" si="91"/>
        <v>29640</v>
      </c>
      <c r="G94" s="221">
        <f t="shared" si="92"/>
        <v>32040</v>
      </c>
      <c r="H94" s="222">
        <f t="shared" si="93"/>
        <v>34440</v>
      </c>
      <c r="I94" s="217">
        <f>'MTSP Income Limits'!G92</f>
        <v>17300</v>
      </c>
      <c r="J94" s="218">
        <f>'MTSP Income Limits'!H92</f>
        <v>19800</v>
      </c>
      <c r="K94" s="218">
        <f>'MTSP Income Limits'!I92</f>
        <v>22250</v>
      </c>
      <c r="L94" s="218">
        <f>'MTSP Income Limits'!J92</f>
        <v>24700</v>
      </c>
      <c r="M94" s="218">
        <f>'MTSP Income Limits'!K92</f>
        <v>26700</v>
      </c>
      <c r="N94" s="219">
        <f>'MTSP Income Limits'!L92</f>
        <v>28700</v>
      </c>
      <c r="O94" s="220">
        <f t="shared" si="94"/>
        <v>13840</v>
      </c>
      <c r="P94" s="221">
        <f t="shared" si="95"/>
        <v>15840</v>
      </c>
      <c r="Q94" s="221">
        <f t="shared" si="96"/>
        <v>17800</v>
      </c>
      <c r="R94" s="221">
        <f t="shared" si="97"/>
        <v>19760</v>
      </c>
      <c r="S94" s="221">
        <f t="shared" si="98"/>
        <v>21360</v>
      </c>
      <c r="T94" s="222">
        <f t="shared" si="99"/>
        <v>22960</v>
      </c>
      <c r="U94" s="223">
        <f t="shared" si="100"/>
        <v>10380</v>
      </c>
      <c r="V94" s="224">
        <f t="shared" si="101"/>
        <v>11880</v>
      </c>
      <c r="W94" s="224">
        <f t="shared" si="102"/>
        <v>13350</v>
      </c>
      <c r="X94" s="224">
        <f t="shared" si="103"/>
        <v>14820</v>
      </c>
      <c r="Y94" s="224">
        <f t="shared" si="104"/>
        <v>16020</v>
      </c>
      <c r="Z94" s="224">
        <f t="shared" si="105"/>
        <v>17220</v>
      </c>
      <c r="AA94" s="220">
        <f t="shared" si="106"/>
        <v>518</v>
      </c>
      <c r="AB94" s="221">
        <f t="shared" si="107"/>
        <v>555</v>
      </c>
      <c r="AC94" s="221">
        <f t="shared" si="108"/>
        <v>667</v>
      </c>
      <c r="AD94" s="221">
        <f t="shared" si="109"/>
        <v>770</v>
      </c>
      <c r="AE94" s="222">
        <f t="shared" si="110"/>
        <v>860</v>
      </c>
      <c r="AF94" s="223">
        <f t="shared" si="111"/>
        <v>432</v>
      </c>
      <c r="AG94" s="224">
        <f t="shared" si="112"/>
        <v>463</v>
      </c>
      <c r="AH94" s="224">
        <f t="shared" si="113"/>
        <v>556</v>
      </c>
      <c r="AI94" s="224">
        <f t="shared" si="114"/>
        <v>642</v>
      </c>
      <c r="AJ94" s="225">
        <f t="shared" si="115"/>
        <v>717</v>
      </c>
      <c r="AK94" s="220">
        <f t="shared" si="116"/>
        <v>345</v>
      </c>
      <c r="AL94" s="221">
        <f t="shared" si="117"/>
        <v>370</v>
      </c>
      <c r="AM94" s="221">
        <f t="shared" si="118"/>
        <v>444</v>
      </c>
      <c r="AN94" s="221">
        <f t="shared" si="119"/>
        <v>513</v>
      </c>
      <c r="AO94" s="222">
        <f t="shared" si="120"/>
        <v>573</v>
      </c>
      <c r="AP94" s="223">
        <f t="shared" si="121"/>
        <v>259</v>
      </c>
      <c r="AQ94" s="224">
        <f t="shared" si="122"/>
        <v>277</v>
      </c>
      <c r="AR94" s="224">
        <f t="shared" si="123"/>
        <v>333</v>
      </c>
      <c r="AS94" s="224">
        <f t="shared" si="124"/>
        <v>385</v>
      </c>
      <c r="AT94" s="225">
        <f t="shared" si="125"/>
        <v>430</v>
      </c>
    </row>
    <row r="95" spans="1:46" x14ac:dyDescent="0.25">
      <c r="A95" s="11"/>
      <c r="B95" s="11" t="s">
        <v>129</v>
      </c>
      <c r="C95" s="220">
        <f t="shared" si="88"/>
        <v>22260</v>
      </c>
      <c r="D95" s="221">
        <f t="shared" si="89"/>
        <v>25440</v>
      </c>
      <c r="E95" s="221">
        <f t="shared" si="90"/>
        <v>28620</v>
      </c>
      <c r="F95" s="221">
        <f t="shared" si="91"/>
        <v>31740</v>
      </c>
      <c r="G95" s="221">
        <f t="shared" si="92"/>
        <v>34320</v>
      </c>
      <c r="H95" s="222">
        <f t="shared" si="93"/>
        <v>36840</v>
      </c>
      <c r="I95" s="217">
        <f>'MTSP Income Limits'!G93</f>
        <v>18550</v>
      </c>
      <c r="J95" s="218">
        <f>'MTSP Income Limits'!H93</f>
        <v>21200</v>
      </c>
      <c r="K95" s="218">
        <f>'MTSP Income Limits'!I93</f>
        <v>23850</v>
      </c>
      <c r="L95" s="218">
        <f>'MTSP Income Limits'!J93</f>
        <v>26450</v>
      </c>
      <c r="M95" s="218">
        <f>'MTSP Income Limits'!K93</f>
        <v>28600</v>
      </c>
      <c r="N95" s="219">
        <f>'MTSP Income Limits'!L93</f>
        <v>30700</v>
      </c>
      <c r="O95" s="220">
        <f t="shared" si="94"/>
        <v>14840</v>
      </c>
      <c r="P95" s="221">
        <f t="shared" si="95"/>
        <v>16960</v>
      </c>
      <c r="Q95" s="221">
        <f t="shared" si="96"/>
        <v>19080</v>
      </c>
      <c r="R95" s="221">
        <f t="shared" si="97"/>
        <v>21160</v>
      </c>
      <c r="S95" s="221">
        <f t="shared" si="98"/>
        <v>22880</v>
      </c>
      <c r="T95" s="222">
        <f t="shared" si="99"/>
        <v>24560</v>
      </c>
      <c r="U95" s="223">
        <f t="shared" si="100"/>
        <v>11130</v>
      </c>
      <c r="V95" s="224">
        <f t="shared" si="101"/>
        <v>12720</v>
      </c>
      <c r="W95" s="224">
        <f t="shared" si="102"/>
        <v>14310</v>
      </c>
      <c r="X95" s="224">
        <f t="shared" si="103"/>
        <v>15870</v>
      </c>
      <c r="Y95" s="224">
        <f t="shared" si="104"/>
        <v>17160</v>
      </c>
      <c r="Z95" s="224">
        <f t="shared" si="105"/>
        <v>18420</v>
      </c>
      <c r="AA95" s="220">
        <f t="shared" si="106"/>
        <v>555</v>
      </c>
      <c r="AB95" s="221">
        <f t="shared" si="107"/>
        <v>595</v>
      </c>
      <c r="AC95" s="221">
        <f t="shared" si="108"/>
        <v>715</v>
      </c>
      <c r="AD95" s="221">
        <f t="shared" si="109"/>
        <v>825</v>
      </c>
      <c r="AE95" s="222">
        <f t="shared" si="110"/>
        <v>920</v>
      </c>
      <c r="AF95" s="223">
        <f t="shared" si="111"/>
        <v>463</v>
      </c>
      <c r="AG95" s="224">
        <f t="shared" si="112"/>
        <v>496</v>
      </c>
      <c r="AH95" s="224">
        <f t="shared" si="113"/>
        <v>596</v>
      </c>
      <c r="AI95" s="224">
        <f t="shared" si="114"/>
        <v>688</v>
      </c>
      <c r="AJ95" s="225">
        <f t="shared" si="115"/>
        <v>767</v>
      </c>
      <c r="AK95" s="220">
        <f t="shared" si="116"/>
        <v>370</v>
      </c>
      <c r="AL95" s="221">
        <f t="shared" si="117"/>
        <v>396</v>
      </c>
      <c r="AM95" s="221">
        <f t="shared" si="118"/>
        <v>476</v>
      </c>
      <c r="AN95" s="221">
        <f t="shared" si="119"/>
        <v>550</v>
      </c>
      <c r="AO95" s="222">
        <f t="shared" si="120"/>
        <v>613</v>
      </c>
      <c r="AP95" s="223">
        <f t="shared" si="121"/>
        <v>277</v>
      </c>
      <c r="AQ95" s="224">
        <f t="shared" si="122"/>
        <v>297</v>
      </c>
      <c r="AR95" s="224">
        <f t="shared" si="123"/>
        <v>357</v>
      </c>
      <c r="AS95" s="224">
        <f t="shared" si="124"/>
        <v>412</v>
      </c>
      <c r="AT95" s="225">
        <f t="shared" si="125"/>
        <v>460</v>
      </c>
    </row>
    <row r="96" spans="1:46" x14ac:dyDescent="0.25">
      <c r="A96" s="11"/>
      <c r="B96" s="11" t="s">
        <v>130</v>
      </c>
      <c r="C96" s="220">
        <f t="shared" si="88"/>
        <v>23400</v>
      </c>
      <c r="D96" s="221">
        <f t="shared" si="89"/>
        <v>26700</v>
      </c>
      <c r="E96" s="221">
        <f t="shared" si="90"/>
        <v>30060</v>
      </c>
      <c r="F96" s="221">
        <f t="shared" si="91"/>
        <v>33360</v>
      </c>
      <c r="G96" s="221">
        <f t="shared" si="92"/>
        <v>36060</v>
      </c>
      <c r="H96" s="222">
        <f t="shared" si="93"/>
        <v>38700</v>
      </c>
      <c r="I96" s="217">
        <f>'MTSP Income Limits'!G94</f>
        <v>19500</v>
      </c>
      <c r="J96" s="218">
        <f>'MTSP Income Limits'!H94</f>
        <v>22250</v>
      </c>
      <c r="K96" s="218">
        <f>'MTSP Income Limits'!I94</f>
        <v>25050</v>
      </c>
      <c r="L96" s="218">
        <f>'MTSP Income Limits'!J94</f>
        <v>27800</v>
      </c>
      <c r="M96" s="218">
        <f>'MTSP Income Limits'!K94</f>
        <v>30050</v>
      </c>
      <c r="N96" s="219">
        <f>'MTSP Income Limits'!L94</f>
        <v>32250</v>
      </c>
      <c r="O96" s="220">
        <f t="shared" si="94"/>
        <v>15600</v>
      </c>
      <c r="P96" s="221">
        <f t="shared" si="95"/>
        <v>17800</v>
      </c>
      <c r="Q96" s="221">
        <f t="shared" si="96"/>
        <v>20040</v>
      </c>
      <c r="R96" s="221">
        <f t="shared" si="97"/>
        <v>22240</v>
      </c>
      <c r="S96" s="221">
        <f t="shared" si="98"/>
        <v>24040</v>
      </c>
      <c r="T96" s="222">
        <f t="shared" si="99"/>
        <v>25800</v>
      </c>
      <c r="U96" s="223">
        <f t="shared" si="100"/>
        <v>11700</v>
      </c>
      <c r="V96" s="224">
        <f t="shared" si="101"/>
        <v>13350</v>
      </c>
      <c r="W96" s="224">
        <f t="shared" si="102"/>
        <v>15030</v>
      </c>
      <c r="X96" s="224">
        <f t="shared" si="103"/>
        <v>16680</v>
      </c>
      <c r="Y96" s="224">
        <f t="shared" si="104"/>
        <v>18030</v>
      </c>
      <c r="Z96" s="224">
        <f t="shared" si="105"/>
        <v>19350</v>
      </c>
      <c r="AA96" s="220">
        <f t="shared" si="106"/>
        <v>584</v>
      </c>
      <c r="AB96" s="221">
        <f t="shared" si="107"/>
        <v>625</v>
      </c>
      <c r="AC96" s="221">
        <f t="shared" si="108"/>
        <v>751</v>
      </c>
      <c r="AD96" s="221">
        <f t="shared" si="109"/>
        <v>867</v>
      </c>
      <c r="AE96" s="222">
        <f t="shared" si="110"/>
        <v>967</v>
      </c>
      <c r="AF96" s="223">
        <f t="shared" si="111"/>
        <v>487</v>
      </c>
      <c r="AG96" s="224">
        <f t="shared" si="112"/>
        <v>521</v>
      </c>
      <c r="AH96" s="224">
        <f t="shared" si="113"/>
        <v>626</v>
      </c>
      <c r="AI96" s="224">
        <f t="shared" si="114"/>
        <v>723</v>
      </c>
      <c r="AJ96" s="225">
        <f t="shared" si="115"/>
        <v>806</v>
      </c>
      <c r="AK96" s="220">
        <f t="shared" si="116"/>
        <v>389</v>
      </c>
      <c r="AL96" s="221">
        <f t="shared" si="117"/>
        <v>416</v>
      </c>
      <c r="AM96" s="221">
        <f t="shared" si="118"/>
        <v>500</v>
      </c>
      <c r="AN96" s="221">
        <f t="shared" si="119"/>
        <v>578</v>
      </c>
      <c r="AO96" s="222">
        <f t="shared" si="120"/>
        <v>644</v>
      </c>
      <c r="AP96" s="223">
        <f t="shared" si="121"/>
        <v>292</v>
      </c>
      <c r="AQ96" s="224">
        <f t="shared" si="122"/>
        <v>312</v>
      </c>
      <c r="AR96" s="224">
        <f t="shared" si="123"/>
        <v>375</v>
      </c>
      <c r="AS96" s="224">
        <f t="shared" si="124"/>
        <v>433</v>
      </c>
      <c r="AT96" s="225">
        <f t="shared" si="125"/>
        <v>483</v>
      </c>
    </row>
    <row r="97" spans="1:46" x14ac:dyDescent="0.25">
      <c r="A97" s="11"/>
      <c r="B97" s="11" t="s">
        <v>131</v>
      </c>
      <c r="C97" s="220">
        <f t="shared" si="88"/>
        <v>20760</v>
      </c>
      <c r="D97" s="221">
        <f t="shared" si="89"/>
        <v>23760</v>
      </c>
      <c r="E97" s="221">
        <f t="shared" si="90"/>
        <v>26700</v>
      </c>
      <c r="F97" s="221">
        <f t="shared" si="91"/>
        <v>29640</v>
      </c>
      <c r="G97" s="221">
        <f t="shared" si="92"/>
        <v>32040</v>
      </c>
      <c r="H97" s="222">
        <f t="shared" si="93"/>
        <v>34440</v>
      </c>
      <c r="I97" s="217">
        <f>'MTSP Income Limits'!G95</f>
        <v>17300</v>
      </c>
      <c r="J97" s="218">
        <f>'MTSP Income Limits'!H95</f>
        <v>19800</v>
      </c>
      <c r="K97" s="218">
        <f>'MTSP Income Limits'!I95</f>
        <v>22250</v>
      </c>
      <c r="L97" s="218">
        <f>'MTSP Income Limits'!J95</f>
        <v>24700</v>
      </c>
      <c r="M97" s="218">
        <f>'MTSP Income Limits'!K95</f>
        <v>26700</v>
      </c>
      <c r="N97" s="219">
        <f>'MTSP Income Limits'!L95</f>
        <v>28700</v>
      </c>
      <c r="O97" s="220">
        <f t="shared" si="94"/>
        <v>13840</v>
      </c>
      <c r="P97" s="221">
        <f t="shared" si="95"/>
        <v>15840</v>
      </c>
      <c r="Q97" s="221">
        <f t="shared" si="96"/>
        <v>17800</v>
      </c>
      <c r="R97" s="221">
        <f t="shared" si="97"/>
        <v>19760</v>
      </c>
      <c r="S97" s="221">
        <f t="shared" si="98"/>
        <v>21360</v>
      </c>
      <c r="T97" s="222">
        <f t="shared" si="99"/>
        <v>22960</v>
      </c>
      <c r="U97" s="223">
        <f t="shared" si="100"/>
        <v>10380</v>
      </c>
      <c r="V97" s="224">
        <f t="shared" si="101"/>
        <v>11880</v>
      </c>
      <c r="W97" s="224">
        <f t="shared" si="102"/>
        <v>13350</v>
      </c>
      <c r="X97" s="224">
        <f t="shared" si="103"/>
        <v>14820</v>
      </c>
      <c r="Y97" s="224">
        <f t="shared" si="104"/>
        <v>16020</v>
      </c>
      <c r="Z97" s="224">
        <f t="shared" si="105"/>
        <v>17220</v>
      </c>
      <c r="AA97" s="220">
        <f t="shared" si="106"/>
        <v>518</v>
      </c>
      <c r="AB97" s="221">
        <f t="shared" si="107"/>
        <v>555</v>
      </c>
      <c r="AC97" s="221">
        <f t="shared" si="108"/>
        <v>667</v>
      </c>
      <c r="AD97" s="221">
        <f t="shared" si="109"/>
        <v>770</v>
      </c>
      <c r="AE97" s="222">
        <f t="shared" si="110"/>
        <v>860</v>
      </c>
      <c r="AF97" s="223">
        <f t="shared" si="111"/>
        <v>432</v>
      </c>
      <c r="AG97" s="224">
        <f t="shared" si="112"/>
        <v>463</v>
      </c>
      <c r="AH97" s="224">
        <f t="shared" si="113"/>
        <v>556</v>
      </c>
      <c r="AI97" s="224">
        <f t="shared" si="114"/>
        <v>642</v>
      </c>
      <c r="AJ97" s="225">
        <f t="shared" si="115"/>
        <v>717</v>
      </c>
      <c r="AK97" s="220">
        <f t="shared" si="116"/>
        <v>345</v>
      </c>
      <c r="AL97" s="221">
        <f t="shared" si="117"/>
        <v>370</v>
      </c>
      <c r="AM97" s="221">
        <f t="shared" si="118"/>
        <v>444</v>
      </c>
      <c r="AN97" s="221">
        <f t="shared" si="119"/>
        <v>513</v>
      </c>
      <c r="AO97" s="222">
        <f t="shared" si="120"/>
        <v>573</v>
      </c>
      <c r="AP97" s="223">
        <f t="shared" si="121"/>
        <v>259</v>
      </c>
      <c r="AQ97" s="224">
        <f t="shared" si="122"/>
        <v>277</v>
      </c>
      <c r="AR97" s="224">
        <f t="shared" si="123"/>
        <v>333</v>
      </c>
      <c r="AS97" s="224">
        <f t="shared" si="124"/>
        <v>385</v>
      </c>
      <c r="AT97" s="225">
        <f t="shared" si="125"/>
        <v>430</v>
      </c>
    </row>
    <row r="98" spans="1:46" x14ac:dyDescent="0.25">
      <c r="A98" s="11"/>
      <c r="B98" s="11" t="s">
        <v>132</v>
      </c>
      <c r="C98" s="220">
        <f t="shared" si="88"/>
        <v>27000</v>
      </c>
      <c r="D98" s="221">
        <f t="shared" si="89"/>
        <v>30840</v>
      </c>
      <c r="E98" s="221">
        <f t="shared" si="90"/>
        <v>34680</v>
      </c>
      <c r="F98" s="221">
        <f t="shared" si="91"/>
        <v>38520</v>
      </c>
      <c r="G98" s="221">
        <f t="shared" si="92"/>
        <v>41640</v>
      </c>
      <c r="H98" s="222">
        <f t="shared" si="93"/>
        <v>44700</v>
      </c>
      <c r="I98" s="217">
        <f>'MTSP Income Limits'!G96</f>
        <v>22500</v>
      </c>
      <c r="J98" s="218">
        <f>'MTSP Income Limits'!H96</f>
        <v>25700</v>
      </c>
      <c r="K98" s="218">
        <f>'MTSP Income Limits'!I96</f>
        <v>28900</v>
      </c>
      <c r="L98" s="218">
        <f>'MTSP Income Limits'!J96</f>
        <v>32100</v>
      </c>
      <c r="M98" s="218">
        <f>'MTSP Income Limits'!K96</f>
        <v>34700</v>
      </c>
      <c r="N98" s="219">
        <f>'MTSP Income Limits'!L96</f>
        <v>37250</v>
      </c>
      <c r="O98" s="220">
        <f t="shared" si="94"/>
        <v>18000</v>
      </c>
      <c r="P98" s="221">
        <f t="shared" si="95"/>
        <v>20560</v>
      </c>
      <c r="Q98" s="221">
        <f t="shared" si="96"/>
        <v>23120</v>
      </c>
      <c r="R98" s="221">
        <f t="shared" si="97"/>
        <v>25680</v>
      </c>
      <c r="S98" s="221">
        <f t="shared" si="98"/>
        <v>27760</v>
      </c>
      <c r="T98" s="222">
        <f t="shared" si="99"/>
        <v>29800</v>
      </c>
      <c r="U98" s="223">
        <f t="shared" si="100"/>
        <v>13500</v>
      </c>
      <c r="V98" s="224">
        <f t="shared" si="101"/>
        <v>15420</v>
      </c>
      <c r="W98" s="224">
        <f t="shared" si="102"/>
        <v>17340</v>
      </c>
      <c r="X98" s="224">
        <f t="shared" si="103"/>
        <v>19260</v>
      </c>
      <c r="Y98" s="224">
        <f t="shared" si="104"/>
        <v>20820</v>
      </c>
      <c r="Z98" s="224">
        <f t="shared" si="105"/>
        <v>22350</v>
      </c>
      <c r="AA98" s="220">
        <f t="shared" si="106"/>
        <v>674</v>
      </c>
      <c r="AB98" s="221">
        <f t="shared" si="107"/>
        <v>722</v>
      </c>
      <c r="AC98" s="221">
        <f t="shared" si="108"/>
        <v>866</v>
      </c>
      <c r="AD98" s="221">
        <f t="shared" si="109"/>
        <v>1002</v>
      </c>
      <c r="AE98" s="222">
        <f t="shared" si="110"/>
        <v>1117</v>
      </c>
      <c r="AF98" s="223">
        <f t="shared" si="111"/>
        <v>562</v>
      </c>
      <c r="AG98" s="224">
        <f t="shared" si="112"/>
        <v>602</v>
      </c>
      <c r="AH98" s="224">
        <f t="shared" si="113"/>
        <v>722</v>
      </c>
      <c r="AI98" s="224">
        <f t="shared" si="114"/>
        <v>835</v>
      </c>
      <c r="AJ98" s="225">
        <f t="shared" si="115"/>
        <v>931</v>
      </c>
      <c r="AK98" s="220">
        <f t="shared" si="116"/>
        <v>449</v>
      </c>
      <c r="AL98" s="221">
        <f t="shared" si="117"/>
        <v>481</v>
      </c>
      <c r="AM98" s="221">
        <f t="shared" si="118"/>
        <v>577</v>
      </c>
      <c r="AN98" s="221">
        <f t="shared" si="119"/>
        <v>668</v>
      </c>
      <c r="AO98" s="222">
        <f t="shared" si="120"/>
        <v>744</v>
      </c>
      <c r="AP98" s="223">
        <f t="shared" si="121"/>
        <v>337</v>
      </c>
      <c r="AQ98" s="224">
        <f t="shared" si="122"/>
        <v>361</v>
      </c>
      <c r="AR98" s="224">
        <f t="shared" si="123"/>
        <v>433</v>
      </c>
      <c r="AS98" s="224">
        <f t="shared" si="124"/>
        <v>501</v>
      </c>
      <c r="AT98" s="225">
        <f t="shared" si="125"/>
        <v>558</v>
      </c>
    </row>
    <row r="99" spans="1:46" x14ac:dyDescent="0.25">
      <c r="A99" s="11"/>
      <c r="B99" s="11" t="s">
        <v>133</v>
      </c>
      <c r="C99" s="220">
        <f t="shared" si="88"/>
        <v>20760</v>
      </c>
      <c r="D99" s="221">
        <f t="shared" si="89"/>
        <v>23760</v>
      </c>
      <c r="E99" s="221">
        <f t="shared" si="90"/>
        <v>26700</v>
      </c>
      <c r="F99" s="221">
        <f t="shared" si="91"/>
        <v>29640</v>
      </c>
      <c r="G99" s="221">
        <f t="shared" si="92"/>
        <v>32040</v>
      </c>
      <c r="H99" s="222">
        <f t="shared" si="93"/>
        <v>34440</v>
      </c>
      <c r="I99" s="217">
        <f>'MTSP Income Limits'!G97</f>
        <v>17300</v>
      </c>
      <c r="J99" s="218">
        <f>'MTSP Income Limits'!H97</f>
        <v>19800</v>
      </c>
      <c r="K99" s="218">
        <f>'MTSP Income Limits'!I97</f>
        <v>22250</v>
      </c>
      <c r="L99" s="218">
        <f>'MTSP Income Limits'!J97</f>
        <v>24700</v>
      </c>
      <c r="M99" s="218">
        <f>'MTSP Income Limits'!K97</f>
        <v>26700</v>
      </c>
      <c r="N99" s="219">
        <f>'MTSP Income Limits'!L97</f>
        <v>28700</v>
      </c>
      <c r="O99" s="220">
        <f t="shared" si="94"/>
        <v>13840</v>
      </c>
      <c r="P99" s="221">
        <f t="shared" si="95"/>
        <v>15840</v>
      </c>
      <c r="Q99" s="221">
        <f t="shared" si="96"/>
        <v>17800</v>
      </c>
      <c r="R99" s="221">
        <f t="shared" si="97"/>
        <v>19760</v>
      </c>
      <c r="S99" s="221">
        <f t="shared" si="98"/>
        <v>21360</v>
      </c>
      <c r="T99" s="222">
        <f t="shared" si="99"/>
        <v>22960</v>
      </c>
      <c r="U99" s="223">
        <f t="shared" si="100"/>
        <v>10380</v>
      </c>
      <c r="V99" s="224">
        <f t="shared" si="101"/>
        <v>11880</v>
      </c>
      <c r="W99" s="224">
        <f t="shared" si="102"/>
        <v>13350</v>
      </c>
      <c r="X99" s="224">
        <f t="shared" si="103"/>
        <v>14820</v>
      </c>
      <c r="Y99" s="224">
        <f t="shared" si="104"/>
        <v>16020</v>
      </c>
      <c r="Z99" s="224">
        <f t="shared" si="105"/>
        <v>17220</v>
      </c>
      <c r="AA99" s="220">
        <f t="shared" si="106"/>
        <v>518</v>
      </c>
      <c r="AB99" s="221">
        <f t="shared" si="107"/>
        <v>555</v>
      </c>
      <c r="AC99" s="221">
        <f t="shared" si="108"/>
        <v>667</v>
      </c>
      <c r="AD99" s="221">
        <f t="shared" si="109"/>
        <v>770</v>
      </c>
      <c r="AE99" s="222">
        <f t="shared" si="110"/>
        <v>860</v>
      </c>
      <c r="AF99" s="223">
        <f t="shared" si="111"/>
        <v>432</v>
      </c>
      <c r="AG99" s="224">
        <f t="shared" si="112"/>
        <v>463</v>
      </c>
      <c r="AH99" s="224">
        <f t="shared" si="113"/>
        <v>556</v>
      </c>
      <c r="AI99" s="224">
        <f t="shared" si="114"/>
        <v>642</v>
      </c>
      <c r="AJ99" s="225">
        <f t="shared" si="115"/>
        <v>717</v>
      </c>
      <c r="AK99" s="220">
        <f t="shared" si="116"/>
        <v>345</v>
      </c>
      <c r="AL99" s="221">
        <f t="shared" si="117"/>
        <v>370</v>
      </c>
      <c r="AM99" s="221">
        <f t="shared" si="118"/>
        <v>444</v>
      </c>
      <c r="AN99" s="221">
        <f t="shared" si="119"/>
        <v>513</v>
      </c>
      <c r="AO99" s="222">
        <f t="shared" si="120"/>
        <v>573</v>
      </c>
      <c r="AP99" s="223">
        <f t="shared" si="121"/>
        <v>259</v>
      </c>
      <c r="AQ99" s="224">
        <f t="shared" si="122"/>
        <v>277</v>
      </c>
      <c r="AR99" s="224">
        <f t="shared" si="123"/>
        <v>333</v>
      </c>
      <c r="AS99" s="224">
        <f t="shared" si="124"/>
        <v>385</v>
      </c>
      <c r="AT99" s="225">
        <f t="shared" si="125"/>
        <v>430</v>
      </c>
    </row>
    <row r="100" spans="1:46" x14ac:dyDescent="0.25">
      <c r="A100" s="11"/>
      <c r="B100" s="11" t="s">
        <v>134</v>
      </c>
      <c r="C100" s="220">
        <f t="shared" si="88"/>
        <v>31860</v>
      </c>
      <c r="D100" s="221">
        <f t="shared" si="89"/>
        <v>36420</v>
      </c>
      <c r="E100" s="221">
        <f t="shared" si="90"/>
        <v>40980</v>
      </c>
      <c r="F100" s="221">
        <f t="shared" si="91"/>
        <v>45480</v>
      </c>
      <c r="G100" s="221">
        <f t="shared" si="92"/>
        <v>49140</v>
      </c>
      <c r="H100" s="222">
        <f t="shared" si="93"/>
        <v>52800</v>
      </c>
      <c r="I100" s="217">
        <f>'MTSP Income Limits'!G98</f>
        <v>26550</v>
      </c>
      <c r="J100" s="218">
        <f>'MTSP Income Limits'!H98</f>
        <v>30350</v>
      </c>
      <c r="K100" s="218">
        <f>'MTSP Income Limits'!I98</f>
        <v>34150</v>
      </c>
      <c r="L100" s="218">
        <f>'MTSP Income Limits'!J98</f>
        <v>37900</v>
      </c>
      <c r="M100" s="218">
        <f>'MTSP Income Limits'!K98</f>
        <v>40950</v>
      </c>
      <c r="N100" s="219">
        <f>'MTSP Income Limits'!L98</f>
        <v>44000</v>
      </c>
      <c r="O100" s="220">
        <f t="shared" si="94"/>
        <v>21240</v>
      </c>
      <c r="P100" s="221">
        <f t="shared" si="95"/>
        <v>24280</v>
      </c>
      <c r="Q100" s="221">
        <f t="shared" si="96"/>
        <v>27320</v>
      </c>
      <c r="R100" s="221">
        <f t="shared" si="97"/>
        <v>30320</v>
      </c>
      <c r="S100" s="221">
        <f t="shared" si="98"/>
        <v>32760</v>
      </c>
      <c r="T100" s="222">
        <f t="shared" si="99"/>
        <v>35200</v>
      </c>
      <c r="U100" s="223">
        <f t="shared" si="100"/>
        <v>15930</v>
      </c>
      <c r="V100" s="224">
        <f t="shared" si="101"/>
        <v>18210</v>
      </c>
      <c r="W100" s="224">
        <f t="shared" si="102"/>
        <v>20490</v>
      </c>
      <c r="X100" s="224">
        <f t="shared" si="103"/>
        <v>22740</v>
      </c>
      <c r="Y100" s="224">
        <f t="shared" si="104"/>
        <v>24570</v>
      </c>
      <c r="Z100" s="224">
        <f t="shared" si="105"/>
        <v>26400</v>
      </c>
      <c r="AA100" s="220">
        <f t="shared" si="106"/>
        <v>795</v>
      </c>
      <c r="AB100" s="221">
        <f t="shared" si="107"/>
        <v>853</v>
      </c>
      <c r="AC100" s="221">
        <f t="shared" si="108"/>
        <v>1023</v>
      </c>
      <c r="AD100" s="221">
        <f t="shared" si="109"/>
        <v>1182</v>
      </c>
      <c r="AE100" s="222">
        <f t="shared" si="110"/>
        <v>1320</v>
      </c>
      <c r="AF100" s="223">
        <f t="shared" si="111"/>
        <v>663</v>
      </c>
      <c r="AG100" s="224">
        <f t="shared" si="112"/>
        <v>711</v>
      </c>
      <c r="AH100" s="224">
        <f t="shared" si="113"/>
        <v>853</v>
      </c>
      <c r="AI100" s="224">
        <f t="shared" si="114"/>
        <v>985</v>
      </c>
      <c r="AJ100" s="225">
        <f t="shared" si="115"/>
        <v>1100</v>
      </c>
      <c r="AK100" s="220">
        <f t="shared" si="116"/>
        <v>530</v>
      </c>
      <c r="AL100" s="221">
        <f t="shared" si="117"/>
        <v>568</v>
      </c>
      <c r="AM100" s="221">
        <f t="shared" si="118"/>
        <v>682</v>
      </c>
      <c r="AN100" s="221">
        <f t="shared" si="119"/>
        <v>788</v>
      </c>
      <c r="AO100" s="222">
        <f t="shared" si="120"/>
        <v>880</v>
      </c>
      <c r="AP100" s="223">
        <f t="shared" si="121"/>
        <v>397</v>
      </c>
      <c r="AQ100" s="224">
        <f t="shared" si="122"/>
        <v>426</v>
      </c>
      <c r="AR100" s="224">
        <f t="shared" si="123"/>
        <v>511</v>
      </c>
      <c r="AS100" s="224">
        <f t="shared" si="124"/>
        <v>591</v>
      </c>
      <c r="AT100" s="225">
        <f t="shared" si="125"/>
        <v>660</v>
      </c>
    </row>
    <row r="101" spans="1:46" x14ac:dyDescent="0.25">
      <c r="A101" s="11"/>
      <c r="B101" s="11" t="s">
        <v>135</v>
      </c>
      <c r="C101" s="220">
        <f t="shared" si="88"/>
        <v>20760</v>
      </c>
      <c r="D101" s="221">
        <f t="shared" si="89"/>
        <v>23760</v>
      </c>
      <c r="E101" s="221">
        <f t="shared" si="90"/>
        <v>26700</v>
      </c>
      <c r="F101" s="221">
        <f t="shared" si="91"/>
        <v>29640</v>
      </c>
      <c r="G101" s="221">
        <f t="shared" si="92"/>
        <v>32040</v>
      </c>
      <c r="H101" s="222">
        <f t="shared" si="93"/>
        <v>34440</v>
      </c>
      <c r="I101" s="217">
        <f>'MTSP Income Limits'!G99</f>
        <v>17300</v>
      </c>
      <c r="J101" s="218">
        <f>'MTSP Income Limits'!H99</f>
        <v>19800</v>
      </c>
      <c r="K101" s="218">
        <f>'MTSP Income Limits'!I99</f>
        <v>22250</v>
      </c>
      <c r="L101" s="218">
        <f>'MTSP Income Limits'!J99</f>
        <v>24700</v>
      </c>
      <c r="M101" s="218">
        <f>'MTSP Income Limits'!K99</f>
        <v>26700</v>
      </c>
      <c r="N101" s="219">
        <f>'MTSP Income Limits'!L99</f>
        <v>28700</v>
      </c>
      <c r="O101" s="220">
        <f t="shared" si="94"/>
        <v>13840</v>
      </c>
      <c r="P101" s="221">
        <f t="shared" si="95"/>
        <v>15840</v>
      </c>
      <c r="Q101" s="221">
        <f t="shared" si="96"/>
        <v>17800</v>
      </c>
      <c r="R101" s="221">
        <f t="shared" si="97"/>
        <v>19760</v>
      </c>
      <c r="S101" s="221">
        <f t="shared" si="98"/>
        <v>21360</v>
      </c>
      <c r="T101" s="222">
        <f t="shared" si="99"/>
        <v>22960</v>
      </c>
      <c r="U101" s="223">
        <f t="shared" si="100"/>
        <v>10380</v>
      </c>
      <c r="V101" s="224">
        <f t="shared" si="101"/>
        <v>11880</v>
      </c>
      <c r="W101" s="224">
        <f t="shared" si="102"/>
        <v>13350</v>
      </c>
      <c r="X101" s="224">
        <f t="shared" si="103"/>
        <v>14820</v>
      </c>
      <c r="Y101" s="224">
        <f t="shared" si="104"/>
        <v>16020</v>
      </c>
      <c r="Z101" s="224">
        <f t="shared" si="105"/>
        <v>17220</v>
      </c>
      <c r="AA101" s="220">
        <f t="shared" si="106"/>
        <v>518</v>
      </c>
      <c r="AB101" s="221">
        <f t="shared" si="107"/>
        <v>555</v>
      </c>
      <c r="AC101" s="221">
        <f t="shared" si="108"/>
        <v>667</v>
      </c>
      <c r="AD101" s="221">
        <f t="shared" si="109"/>
        <v>770</v>
      </c>
      <c r="AE101" s="222">
        <f t="shared" si="110"/>
        <v>860</v>
      </c>
      <c r="AF101" s="223">
        <f t="shared" si="111"/>
        <v>432</v>
      </c>
      <c r="AG101" s="224">
        <f t="shared" si="112"/>
        <v>463</v>
      </c>
      <c r="AH101" s="224">
        <f t="shared" si="113"/>
        <v>556</v>
      </c>
      <c r="AI101" s="224">
        <f t="shared" si="114"/>
        <v>642</v>
      </c>
      <c r="AJ101" s="225">
        <f t="shared" si="115"/>
        <v>717</v>
      </c>
      <c r="AK101" s="220">
        <f t="shared" si="116"/>
        <v>345</v>
      </c>
      <c r="AL101" s="221">
        <f t="shared" si="117"/>
        <v>370</v>
      </c>
      <c r="AM101" s="221">
        <f t="shared" si="118"/>
        <v>444</v>
      </c>
      <c r="AN101" s="221">
        <f t="shared" si="119"/>
        <v>513</v>
      </c>
      <c r="AO101" s="222">
        <f t="shared" si="120"/>
        <v>573</v>
      </c>
      <c r="AP101" s="223">
        <f t="shared" si="121"/>
        <v>259</v>
      </c>
      <c r="AQ101" s="224">
        <f t="shared" si="122"/>
        <v>277</v>
      </c>
      <c r="AR101" s="224">
        <f t="shared" si="123"/>
        <v>333</v>
      </c>
      <c r="AS101" s="224">
        <f t="shared" si="124"/>
        <v>385</v>
      </c>
      <c r="AT101" s="225">
        <f t="shared" si="125"/>
        <v>430</v>
      </c>
    </row>
    <row r="102" spans="1:46" x14ac:dyDescent="0.25">
      <c r="A102" s="11"/>
      <c r="B102" s="11" t="s">
        <v>136</v>
      </c>
      <c r="C102" s="220">
        <f t="shared" si="88"/>
        <v>21000</v>
      </c>
      <c r="D102" s="221">
        <f t="shared" si="89"/>
        <v>24000</v>
      </c>
      <c r="E102" s="221">
        <f t="shared" si="90"/>
        <v>27000</v>
      </c>
      <c r="F102" s="221">
        <f t="shared" si="91"/>
        <v>29940</v>
      </c>
      <c r="G102" s="221">
        <f t="shared" si="92"/>
        <v>32340</v>
      </c>
      <c r="H102" s="222">
        <f t="shared" si="93"/>
        <v>34740</v>
      </c>
      <c r="I102" s="217">
        <f>'MTSP Income Limits'!G100</f>
        <v>17500</v>
      </c>
      <c r="J102" s="218">
        <f>'MTSP Income Limits'!H100</f>
        <v>20000</v>
      </c>
      <c r="K102" s="218">
        <f>'MTSP Income Limits'!I100</f>
        <v>22500</v>
      </c>
      <c r="L102" s="218">
        <f>'MTSP Income Limits'!J100</f>
        <v>24950</v>
      </c>
      <c r="M102" s="218">
        <f>'MTSP Income Limits'!K100</f>
        <v>26950</v>
      </c>
      <c r="N102" s="219">
        <f>'MTSP Income Limits'!L100</f>
        <v>28950</v>
      </c>
      <c r="O102" s="220">
        <f t="shared" si="94"/>
        <v>14000</v>
      </c>
      <c r="P102" s="221">
        <f t="shared" si="95"/>
        <v>16000</v>
      </c>
      <c r="Q102" s="221">
        <f t="shared" si="96"/>
        <v>18000</v>
      </c>
      <c r="R102" s="221">
        <f t="shared" si="97"/>
        <v>19960</v>
      </c>
      <c r="S102" s="221">
        <f t="shared" si="98"/>
        <v>21560</v>
      </c>
      <c r="T102" s="222">
        <f t="shared" si="99"/>
        <v>23160</v>
      </c>
      <c r="U102" s="223">
        <f t="shared" si="100"/>
        <v>10500</v>
      </c>
      <c r="V102" s="224">
        <f t="shared" si="101"/>
        <v>12000</v>
      </c>
      <c r="W102" s="224">
        <f t="shared" si="102"/>
        <v>13500</v>
      </c>
      <c r="X102" s="224">
        <f t="shared" si="103"/>
        <v>14970</v>
      </c>
      <c r="Y102" s="224">
        <f t="shared" si="104"/>
        <v>16170</v>
      </c>
      <c r="Z102" s="224">
        <f t="shared" si="105"/>
        <v>17370</v>
      </c>
      <c r="AA102" s="220">
        <f t="shared" si="106"/>
        <v>524</v>
      </c>
      <c r="AB102" s="221">
        <f t="shared" si="107"/>
        <v>561</v>
      </c>
      <c r="AC102" s="221">
        <f t="shared" si="108"/>
        <v>674</v>
      </c>
      <c r="AD102" s="221">
        <f t="shared" si="109"/>
        <v>777</v>
      </c>
      <c r="AE102" s="222">
        <f t="shared" si="110"/>
        <v>867</v>
      </c>
      <c r="AF102" s="223">
        <f t="shared" si="111"/>
        <v>437</v>
      </c>
      <c r="AG102" s="224">
        <f t="shared" si="112"/>
        <v>468</v>
      </c>
      <c r="AH102" s="224">
        <f t="shared" si="113"/>
        <v>562</v>
      </c>
      <c r="AI102" s="224">
        <f t="shared" si="114"/>
        <v>648</v>
      </c>
      <c r="AJ102" s="225">
        <f t="shared" si="115"/>
        <v>723</v>
      </c>
      <c r="AK102" s="220">
        <f t="shared" si="116"/>
        <v>349</v>
      </c>
      <c r="AL102" s="221">
        <f t="shared" si="117"/>
        <v>374</v>
      </c>
      <c r="AM102" s="221">
        <f t="shared" si="118"/>
        <v>449</v>
      </c>
      <c r="AN102" s="221">
        <f t="shared" si="119"/>
        <v>518</v>
      </c>
      <c r="AO102" s="222">
        <f t="shared" si="120"/>
        <v>578</v>
      </c>
      <c r="AP102" s="223">
        <f t="shared" si="121"/>
        <v>262</v>
      </c>
      <c r="AQ102" s="224">
        <f t="shared" si="122"/>
        <v>280</v>
      </c>
      <c r="AR102" s="224">
        <f t="shared" si="123"/>
        <v>337</v>
      </c>
      <c r="AS102" s="224">
        <f t="shared" si="124"/>
        <v>388</v>
      </c>
      <c r="AT102" s="225">
        <f t="shared" si="125"/>
        <v>433</v>
      </c>
    </row>
    <row r="103" spans="1:46" x14ac:dyDescent="0.25">
      <c r="A103" s="11"/>
      <c r="B103" s="11" t="s">
        <v>137</v>
      </c>
      <c r="C103" s="220">
        <f t="shared" si="88"/>
        <v>26160</v>
      </c>
      <c r="D103" s="221">
        <f t="shared" si="89"/>
        <v>29880</v>
      </c>
      <c r="E103" s="221">
        <f t="shared" si="90"/>
        <v>33600</v>
      </c>
      <c r="F103" s="221">
        <f t="shared" si="91"/>
        <v>37320</v>
      </c>
      <c r="G103" s="221">
        <f t="shared" si="92"/>
        <v>40320</v>
      </c>
      <c r="H103" s="222">
        <f t="shared" si="93"/>
        <v>43320</v>
      </c>
      <c r="I103" s="217">
        <f>'MTSP Income Limits'!G101</f>
        <v>21800</v>
      </c>
      <c r="J103" s="218">
        <f>'MTSP Income Limits'!H101</f>
        <v>24900</v>
      </c>
      <c r="K103" s="218">
        <f>'MTSP Income Limits'!I101</f>
        <v>28000</v>
      </c>
      <c r="L103" s="218">
        <f>'MTSP Income Limits'!J101</f>
        <v>31100</v>
      </c>
      <c r="M103" s="218">
        <f>'MTSP Income Limits'!K101</f>
        <v>33600</v>
      </c>
      <c r="N103" s="219">
        <f>'MTSP Income Limits'!L101</f>
        <v>36100</v>
      </c>
      <c r="O103" s="220">
        <f t="shared" si="94"/>
        <v>17440</v>
      </c>
      <c r="P103" s="221">
        <f t="shared" si="95"/>
        <v>19920</v>
      </c>
      <c r="Q103" s="221">
        <f t="shared" si="96"/>
        <v>22400</v>
      </c>
      <c r="R103" s="221">
        <f t="shared" si="97"/>
        <v>24880</v>
      </c>
      <c r="S103" s="221">
        <f t="shared" si="98"/>
        <v>26880</v>
      </c>
      <c r="T103" s="222">
        <f t="shared" si="99"/>
        <v>28880</v>
      </c>
      <c r="U103" s="223">
        <f t="shared" si="100"/>
        <v>13080</v>
      </c>
      <c r="V103" s="224">
        <f t="shared" si="101"/>
        <v>14940</v>
      </c>
      <c r="W103" s="224">
        <f t="shared" si="102"/>
        <v>16800</v>
      </c>
      <c r="X103" s="224">
        <f t="shared" si="103"/>
        <v>18660</v>
      </c>
      <c r="Y103" s="224">
        <f t="shared" si="104"/>
        <v>20160</v>
      </c>
      <c r="Z103" s="224">
        <f t="shared" si="105"/>
        <v>21660</v>
      </c>
      <c r="AA103" s="220">
        <f t="shared" si="106"/>
        <v>654</v>
      </c>
      <c r="AB103" s="221">
        <f t="shared" si="107"/>
        <v>699</v>
      </c>
      <c r="AC103" s="221">
        <f t="shared" si="108"/>
        <v>840</v>
      </c>
      <c r="AD103" s="221">
        <f t="shared" si="109"/>
        <v>969</v>
      </c>
      <c r="AE103" s="222">
        <f t="shared" si="110"/>
        <v>1082</v>
      </c>
      <c r="AF103" s="223">
        <f t="shared" si="111"/>
        <v>545</v>
      </c>
      <c r="AG103" s="224">
        <f t="shared" si="112"/>
        <v>583</v>
      </c>
      <c r="AH103" s="224">
        <f t="shared" si="113"/>
        <v>700</v>
      </c>
      <c r="AI103" s="224">
        <f t="shared" si="114"/>
        <v>808</v>
      </c>
      <c r="AJ103" s="225">
        <f t="shared" si="115"/>
        <v>902</v>
      </c>
      <c r="AK103" s="220">
        <f t="shared" si="116"/>
        <v>436</v>
      </c>
      <c r="AL103" s="221">
        <f t="shared" si="117"/>
        <v>466</v>
      </c>
      <c r="AM103" s="221">
        <f t="shared" si="118"/>
        <v>560</v>
      </c>
      <c r="AN103" s="221">
        <f t="shared" si="119"/>
        <v>646</v>
      </c>
      <c r="AO103" s="222">
        <f t="shared" si="120"/>
        <v>721</v>
      </c>
      <c r="AP103" s="223">
        <f t="shared" si="121"/>
        <v>327</v>
      </c>
      <c r="AQ103" s="224">
        <f t="shared" si="122"/>
        <v>349</v>
      </c>
      <c r="AR103" s="224">
        <f t="shared" si="123"/>
        <v>420</v>
      </c>
      <c r="AS103" s="224">
        <f t="shared" si="124"/>
        <v>484</v>
      </c>
      <c r="AT103" s="225">
        <f t="shared" si="125"/>
        <v>541</v>
      </c>
    </row>
    <row r="104" spans="1:46" x14ac:dyDescent="0.25">
      <c r="A104" s="11"/>
      <c r="B104" s="11" t="s">
        <v>138</v>
      </c>
      <c r="C104" s="220">
        <f t="shared" si="88"/>
        <v>21420</v>
      </c>
      <c r="D104" s="221">
        <f t="shared" si="89"/>
        <v>24480</v>
      </c>
      <c r="E104" s="221">
        <f t="shared" si="90"/>
        <v>27540</v>
      </c>
      <c r="F104" s="221">
        <f t="shared" si="91"/>
        <v>30540</v>
      </c>
      <c r="G104" s="221">
        <f t="shared" si="92"/>
        <v>33000</v>
      </c>
      <c r="H104" s="222">
        <f t="shared" si="93"/>
        <v>35460</v>
      </c>
      <c r="I104" s="217">
        <f>'MTSP Income Limits'!G102</f>
        <v>17850</v>
      </c>
      <c r="J104" s="218">
        <f>'MTSP Income Limits'!H102</f>
        <v>20400</v>
      </c>
      <c r="K104" s="218">
        <f>'MTSP Income Limits'!I102</f>
        <v>22950</v>
      </c>
      <c r="L104" s="218">
        <f>'MTSP Income Limits'!J102</f>
        <v>25450</v>
      </c>
      <c r="M104" s="218">
        <f>'MTSP Income Limits'!K102</f>
        <v>27500</v>
      </c>
      <c r="N104" s="219">
        <f>'MTSP Income Limits'!L102</f>
        <v>29550</v>
      </c>
      <c r="O104" s="220">
        <f t="shared" si="94"/>
        <v>14280</v>
      </c>
      <c r="P104" s="221">
        <f t="shared" si="95"/>
        <v>16320</v>
      </c>
      <c r="Q104" s="221">
        <f t="shared" si="96"/>
        <v>18360</v>
      </c>
      <c r="R104" s="221">
        <f t="shared" si="97"/>
        <v>20360</v>
      </c>
      <c r="S104" s="221">
        <f t="shared" si="98"/>
        <v>22000</v>
      </c>
      <c r="T104" s="222">
        <f t="shared" si="99"/>
        <v>23640</v>
      </c>
      <c r="U104" s="223">
        <f t="shared" si="100"/>
        <v>10710</v>
      </c>
      <c r="V104" s="224">
        <f t="shared" si="101"/>
        <v>12240</v>
      </c>
      <c r="W104" s="224">
        <f t="shared" si="102"/>
        <v>13770</v>
      </c>
      <c r="X104" s="224">
        <f t="shared" si="103"/>
        <v>15270</v>
      </c>
      <c r="Y104" s="224">
        <f t="shared" si="104"/>
        <v>16500</v>
      </c>
      <c r="Z104" s="224">
        <f t="shared" si="105"/>
        <v>17730</v>
      </c>
      <c r="AA104" s="220">
        <f t="shared" si="106"/>
        <v>535</v>
      </c>
      <c r="AB104" s="221">
        <f t="shared" si="107"/>
        <v>573</v>
      </c>
      <c r="AC104" s="221">
        <f t="shared" si="108"/>
        <v>687</v>
      </c>
      <c r="AD104" s="221">
        <f t="shared" si="109"/>
        <v>793</v>
      </c>
      <c r="AE104" s="222">
        <f t="shared" si="110"/>
        <v>885</v>
      </c>
      <c r="AF104" s="223">
        <f t="shared" si="111"/>
        <v>446</v>
      </c>
      <c r="AG104" s="224">
        <f t="shared" si="112"/>
        <v>478</v>
      </c>
      <c r="AH104" s="224">
        <f t="shared" si="113"/>
        <v>573</v>
      </c>
      <c r="AI104" s="224">
        <f t="shared" si="114"/>
        <v>661</v>
      </c>
      <c r="AJ104" s="225">
        <f t="shared" si="115"/>
        <v>738</v>
      </c>
      <c r="AK104" s="220">
        <f t="shared" si="116"/>
        <v>356</v>
      </c>
      <c r="AL104" s="221">
        <f t="shared" si="117"/>
        <v>382</v>
      </c>
      <c r="AM104" s="221">
        <f t="shared" si="118"/>
        <v>458</v>
      </c>
      <c r="AN104" s="221">
        <f t="shared" si="119"/>
        <v>528</v>
      </c>
      <c r="AO104" s="222">
        <f t="shared" si="120"/>
        <v>590</v>
      </c>
      <c r="AP104" s="223">
        <f t="shared" si="121"/>
        <v>267</v>
      </c>
      <c r="AQ104" s="224">
        <f t="shared" si="122"/>
        <v>286</v>
      </c>
      <c r="AR104" s="224">
        <f t="shared" si="123"/>
        <v>343</v>
      </c>
      <c r="AS104" s="224">
        <f t="shared" si="124"/>
        <v>396</v>
      </c>
      <c r="AT104" s="225">
        <f t="shared" si="125"/>
        <v>442</v>
      </c>
    </row>
    <row r="105" spans="1:46" x14ac:dyDescent="0.25">
      <c r="A105" s="11"/>
      <c r="B105" s="11" t="s">
        <v>139</v>
      </c>
      <c r="C105" s="220">
        <f t="shared" si="88"/>
        <v>20760</v>
      </c>
      <c r="D105" s="221">
        <f t="shared" si="89"/>
        <v>23760</v>
      </c>
      <c r="E105" s="221">
        <f t="shared" si="90"/>
        <v>26700</v>
      </c>
      <c r="F105" s="221">
        <f t="shared" si="91"/>
        <v>29640</v>
      </c>
      <c r="G105" s="221">
        <f t="shared" si="92"/>
        <v>32040</v>
      </c>
      <c r="H105" s="222">
        <f t="shared" si="93"/>
        <v>34440</v>
      </c>
      <c r="I105" s="217">
        <f>'MTSP Income Limits'!G103</f>
        <v>17300</v>
      </c>
      <c r="J105" s="218">
        <f>'MTSP Income Limits'!H103</f>
        <v>19800</v>
      </c>
      <c r="K105" s="218">
        <f>'MTSP Income Limits'!I103</f>
        <v>22250</v>
      </c>
      <c r="L105" s="218">
        <f>'MTSP Income Limits'!J103</f>
        <v>24700</v>
      </c>
      <c r="M105" s="218">
        <f>'MTSP Income Limits'!K103</f>
        <v>26700</v>
      </c>
      <c r="N105" s="219">
        <f>'MTSP Income Limits'!L103</f>
        <v>28700</v>
      </c>
      <c r="O105" s="220">
        <f t="shared" si="94"/>
        <v>13840</v>
      </c>
      <c r="P105" s="221">
        <f t="shared" si="95"/>
        <v>15840</v>
      </c>
      <c r="Q105" s="221">
        <f t="shared" si="96"/>
        <v>17800</v>
      </c>
      <c r="R105" s="221">
        <f t="shared" si="97"/>
        <v>19760</v>
      </c>
      <c r="S105" s="221">
        <f t="shared" si="98"/>
        <v>21360</v>
      </c>
      <c r="T105" s="222">
        <f t="shared" si="99"/>
        <v>22960</v>
      </c>
      <c r="U105" s="223">
        <f t="shared" si="100"/>
        <v>10380</v>
      </c>
      <c r="V105" s="224">
        <f t="shared" si="101"/>
        <v>11880</v>
      </c>
      <c r="W105" s="224">
        <f t="shared" si="102"/>
        <v>13350</v>
      </c>
      <c r="X105" s="224">
        <f t="shared" si="103"/>
        <v>14820</v>
      </c>
      <c r="Y105" s="224">
        <f t="shared" si="104"/>
        <v>16020</v>
      </c>
      <c r="Z105" s="224">
        <f t="shared" si="105"/>
        <v>17220</v>
      </c>
      <c r="AA105" s="220">
        <f t="shared" si="106"/>
        <v>518</v>
      </c>
      <c r="AB105" s="221">
        <f t="shared" si="107"/>
        <v>555</v>
      </c>
      <c r="AC105" s="221">
        <f t="shared" si="108"/>
        <v>667</v>
      </c>
      <c r="AD105" s="221">
        <f t="shared" si="109"/>
        <v>770</v>
      </c>
      <c r="AE105" s="222">
        <f t="shared" si="110"/>
        <v>860</v>
      </c>
      <c r="AF105" s="223">
        <f t="shared" si="111"/>
        <v>432</v>
      </c>
      <c r="AG105" s="224">
        <f t="shared" si="112"/>
        <v>463</v>
      </c>
      <c r="AH105" s="224">
        <f t="shared" si="113"/>
        <v>556</v>
      </c>
      <c r="AI105" s="224">
        <f t="shared" si="114"/>
        <v>642</v>
      </c>
      <c r="AJ105" s="225">
        <f t="shared" si="115"/>
        <v>717</v>
      </c>
      <c r="AK105" s="220">
        <f t="shared" si="116"/>
        <v>345</v>
      </c>
      <c r="AL105" s="221">
        <f t="shared" si="117"/>
        <v>370</v>
      </c>
      <c r="AM105" s="221">
        <f t="shared" si="118"/>
        <v>444</v>
      </c>
      <c r="AN105" s="221">
        <f t="shared" si="119"/>
        <v>513</v>
      </c>
      <c r="AO105" s="222">
        <f t="shared" si="120"/>
        <v>573</v>
      </c>
      <c r="AP105" s="223">
        <f t="shared" si="121"/>
        <v>259</v>
      </c>
      <c r="AQ105" s="224">
        <f t="shared" si="122"/>
        <v>277</v>
      </c>
      <c r="AR105" s="224">
        <f t="shared" si="123"/>
        <v>333</v>
      </c>
      <c r="AS105" s="224">
        <f t="shared" si="124"/>
        <v>385</v>
      </c>
      <c r="AT105" s="225">
        <f t="shared" si="125"/>
        <v>430</v>
      </c>
    </row>
    <row r="106" spans="1:46" x14ac:dyDescent="0.25">
      <c r="A106" s="11"/>
      <c r="B106" s="11" t="s">
        <v>140</v>
      </c>
      <c r="C106" s="220">
        <f t="shared" si="88"/>
        <v>20760</v>
      </c>
      <c r="D106" s="221">
        <f t="shared" si="89"/>
        <v>23760</v>
      </c>
      <c r="E106" s="221">
        <f t="shared" si="90"/>
        <v>26700</v>
      </c>
      <c r="F106" s="221">
        <f t="shared" si="91"/>
        <v>29640</v>
      </c>
      <c r="G106" s="221">
        <f t="shared" si="92"/>
        <v>32040</v>
      </c>
      <c r="H106" s="222">
        <f t="shared" si="93"/>
        <v>34440</v>
      </c>
      <c r="I106" s="217">
        <f>'MTSP Income Limits'!G104</f>
        <v>17300</v>
      </c>
      <c r="J106" s="218">
        <f>'MTSP Income Limits'!H104</f>
        <v>19800</v>
      </c>
      <c r="K106" s="218">
        <f>'MTSP Income Limits'!I104</f>
        <v>22250</v>
      </c>
      <c r="L106" s="218">
        <f>'MTSP Income Limits'!J104</f>
        <v>24700</v>
      </c>
      <c r="M106" s="218">
        <f>'MTSP Income Limits'!K104</f>
        <v>26700</v>
      </c>
      <c r="N106" s="219">
        <f>'MTSP Income Limits'!L104</f>
        <v>28700</v>
      </c>
      <c r="O106" s="220">
        <f t="shared" si="94"/>
        <v>13840</v>
      </c>
      <c r="P106" s="221">
        <f t="shared" si="95"/>
        <v>15840</v>
      </c>
      <c r="Q106" s="221">
        <f t="shared" si="96"/>
        <v>17800</v>
      </c>
      <c r="R106" s="221">
        <f t="shared" si="97"/>
        <v>19760</v>
      </c>
      <c r="S106" s="221">
        <f t="shared" si="98"/>
        <v>21360</v>
      </c>
      <c r="T106" s="222">
        <f t="shared" si="99"/>
        <v>22960</v>
      </c>
      <c r="U106" s="223">
        <f t="shared" si="100"/>
        <v>10380</v>
      </c>
      <c r="V106" s="224">
        <f t="shared" si="101"/>
        <v>11880</v>
      </c>
      <c r="W106" s="224">
        <f t="shared" si="102"/>
        <v>13350</v>
      </c>
      <c r="X106" s="224">
        <f t="shared" si="103"/>
        <v>14820</v>
      </c>
      <c r="Y106" s="224">
        <f t="shared" si="104"/>
        <v>16020</v>
      </c>
      <c r="Z106" s="224">
        <f t="shared" si="105"/>
        <v>17220</v>
      </c>
      <c r="AA106" s="220">
        <f t="shared" si="106"/>
        <v>518</v>
      </c>
      <c r="AB106" s="221">
        <f t="shared" si="107"/>
        <v>555</v>
      </c>
      <c r="AC106" s="221">
        <f t="shared" si="108"/>
        <v>667</v>
      </c>
      <c r="AD106" s="221">
        <f t="shared" si="109"/>
        <v>770</v>
      </c>
      <c r="AE106" s="222">
        <f t="shared" si="110"/>
        <v>860</v>
      </c>
      <c r="AF106" s="223">
        <f t="shared" si="111"/>
        <v>432</v>
      </c>
      <c r="AG106" s="224">
        <f t="shared" si="112"/>
        <v>463</v>
      </c>
      <c r="AH106" s="224">
        <f t="shared" si="113"/>
        <v>556</v>
      </c>
      <c r="AI106" s="224">
        <f t="shared" si="114"/>
        <v>642</v>
      </c>
      <c r="AJ106" s="225">
        <f t="shared" si="115"/>
        <v>717</v>
      </c>
      <c r="AK106" s="220">
        <f t="shared" si="116"/>
        <v>345</v>
      </c>
      <c r="AL106" s="221">
        <f t="shared" si="117"/>
        <v>370</v>
      </c>
      <c r="AM106" s="221">
        <f t="shared" si="118"/>
        <v>444</v>
      </c>
      <c r="AN106" s="221">
        <f t="shared" si="119"/>
        <v>513</v>
      </c>
      <c r="AO106" s="222">
        <f t="shared" si="120"/>
        <v>573</v>
      </c>
      <c r="AP106" s="223">
        <f t="shared" si="121"/>
        <v>259</v>
      </c>
      <c r="AQ106" s="224">
        <f t="shared" si="122"/>
        <v>277</v>
      </c>
      <c r="AR106" s="224">
        <f t="shared" si="123"/>
        <v>333</v>
      </c>
      <c r="AS106" s="224">
        <f t="shared" si="124"/>
        <v>385</v>
      </c>
      <c r="AT106" s="225">
        <f t="shared" si="125"/>
        <v>430</v>
      </c>
    </row>
    <row r="107" spans="1:46" x14ac:dyDescent="0.25">
      <c r="A107" s="11"/>
      <c r="B107" s="11" t="s">
        <v>141</v>
      </c>
      <c r="C107" s="220">
        <f t="shared" si="88"/>
        <v>23820</v>
      </c>
      <c r="D107" s="221">
        <f t="shared" si="89"/>
        <v>27180</v>
      </c>
      <c r="E107" s="221">
        <f t="shared" si="90"/>
        <v>30600</v>
      </c>
      <c r="F107" s="221">
        <f t="shared" si="91"/>
        <v>33960</v>
      </c>
      <c r="G107" s="221">
        <f t="shared" si="92"/>
        <v>36720</v>
      </c>
      <c r="H107" s="222">
        <f t="shared" si="93"/>
        <v>39420</v>
      </c>
      <c r="I107" s="217">
        <f>'MTSP Income Limits'!G105</f>
        <v>19850</v>
      </c>
      <c r="J107" s="218">
        <f>'MTSP Income Limits'!H105</f>
        <v>22650</v>
      </c>
      <c r="K107" s="218">
        <f>'MTSP Income Limits'!I105</f>
        <v>25500</v>
      </c>
      <c r="L107" s="218">
        <f>'MTSP Income Limits'!J105</f>
        <v>28300</v>
      </c>
      <c r="M107" s="218">
        <f>'MTSP Income Limits'!K105</f>
        <v>30600</v>
      </c>
      <c r="N107" s="219">
        <f>'MTSP Income Limits'!L105</f>
        <v>32850</v>
      </c>
      <c r="O107" s="220">
        <f t="shared" si="94"/>
        <v>15880</v>
      </c>
      <c r="P107" s="221">
        <f t="shared" si="95"/>
        <v>18120</v>
      </c>
      <c r="Q107" s="221">
        <f t="shared" si="96"/>
        <v>20400</v>
      </c>
      <c r="R107" s="221">
        <f t="shared" si="97"/>
        <v>22640</v>
      </c>
      <c r="S107" s="221">
        <f t="shared" si="98"/>
        <v>24480</v>
      </c>
      <c r="T107" s="222">
        <f t="shared" si="99"/>
        <v>26280</v>
      </c>
      <c r="U107" s="223">
        <f t="shared" si="100"/>
        <v>11910</v>
      </c>
      <c r="V107" s="224">
        <f t="shared" si="101"/>
        <v>13590</v>
      </c>
      <c r="W107" s="224">
        <f t="shared" si="102"/>
        <v>15300</v>
      </c>
      <c r="X107" s="224">
        <f t="shared" si="103"/>
        <v>16980</v>
      </c>
      <c r="Y107" s="224">
        <f t="shared" si="104"/>
        <v>18360</v>
      </c>
      <c r="Z107" s="224">
        <f t="shared" si="105"/>
        <v>19710</v>
      </c>
      <c r="AA107" s="220">
        <f t="shared" si="106"/>
        <v>595</v>
      </c>
      <c r="AB107" s="221">
        <f t="shared" si="107"/>
        <v>637</v>
      </c>
      <c r="AC107" s="221">
        <f t="shared" si="108"/>
        <v>764</v>
      </c>
      <c r="AD107" s="221">
        <f t="shared" si="109"/>
        <v>883</v>
      </c>
      <c r="AE107" s="222">
        <f t="shared" si="110"/>
        <v>985</v>
      </c>
      <c r="AF107" s="223">
        <f t="shared" si="111"/>
        <v>496</v>
      </c>
      <c r="AG107" s="224">
        <f t="shared" si="112"/>
        <v>531</v>
      </c>
      <c r="AH107" s="224">
        <f t="shared" si="113"/>
        <v>637</v>
      </c>
      <c r="AI107" s="224">
        <f t="shared" si="114"/>
        <v>736</v>
      </c>
      <c r="AJ107" s="225">
        <f t="shared" si="115"/>
        <v>821</v>
      </c>
      <c r="AK107" s="220">
        <f t="shared" si="116"/>
        <v>396</v>
      </c>
      <c r="AL107" s="221">
        <f t="shared" si="117"/>
        <v>424</v>
      </c>
      <c r="AM107" s="221">
        <f t="shared" si="118"/>
        <v>509</v>
      </c>
      <c r="AN107" s="221">
        <f t="shared" si="119"/>
        <v>588</v>
      </c>
      <c r="AO107" s="222">
        <f t="shared" si="120"/>
        <v>656</v>
      </c>
      <c r="AP107" s="223">
        <f t="shared" si="121"/>
        <v>297</v>
      </c>
      <c r="AQ107" s="224">
        <f t="shared" si="122"/>
        <v>318</v>
      </c>
      <c r="AR107" s="224">
        <f t="shared" si="123"/>
        <v>382</v>
      </c>
      <c r="AS107" s="224">
        <f t="shared" si="124"/>
        <v>441</v>
      </c>
      <c r="AT107" s="225">
        <f t="shared" si="125"/>
        <v>492</v>
      </c>
    </row>
    <row r="108" spans="1:46" x14ac:dyDescent="0.25">
      <c r="A108" s="11"/>
      <c r="B108" s="11" t="s">
        <v>142</v>
      </c>
      <c r="C108" s="229">
        <f t="shared" si="88"/>
        <v>20760</v>
      </c>
      <c r="D108" s="230">
        <f t="shared" si="89"/>
        <v>23760</v>
      </c>
      <c r="E108" s="230">
        <f t="shared" si="90"/>
        <v>26700</v>
      </c>
      <c r="F108" s="230">
        <f t="shared" si="91"/>
        <v>29640</v>
      </c>
      <c r="G108" s="230">
        <f t="shared" si="92"/>
        <v>32040</v>
      </c>
      <c r="H108" s="231">
        <f t="shared" si="93"/>
        <v>34440</v>
      </c>
      <c r="I108" s="226">
        <f>'MTSP Income Limits'!G106</f>
        <v>17300</v>
      </c>
      <c r="J108" s="227">
        <f>'MTSP Income Limits'!H106</f>
        <v>19800</v>
      </c>
      <c r="K108" s="227">
        <f>'MTSP Income Limits'!I106</f>
        <v>22250</v>
      </c>
      <c r="L108" s="227">
        <f>'MTSP Income Limits'!J106</f>
        <v>24700</v>
      </c>
      <c r="M108" s="227">
        <f>'MTSP Income Limits'!K106</f>
        <v>26700</v>
      </c>
      <c r="N108" s="228">
        <f>'MTSP Income Limits'!L106</f>
        <v>28700</v>
      </c>
      <c r="O108" s="229">
        <f t="shared" si="94"/>
        <v>13840</v>
      </c>
      <c r="P108" s="230">
        <f t="shared" si="95"/>
        <v>15840</v>
      </c>
      <c r="Q108" s="230">
        <f t="shared" si="96"/>
        <v>17800</v>
      </c>
      <c r="R108" s="230">
        <f t="shared" si="97"/>
        <v>19760</v>
      </c>
      <c r="S108" s="230">
        <f t="shared" si="98"/>
        <v>21360</v>
      </c>
      <c r="T108" s="231">
        <f t="shared" si="99"/>
        <v>22960</v>
      </c>
      <c r="U108" s="232">
        <f t="shared" si="100"/>
        <v>10380</v>
      </c>
      <c r="V108" s="233">
        <f t="shared" si="101"/>
        <v>11880</v>
      </c>
      <c r="W108" s="233">
        <f t="shared" si="102"/>
        <v>13350</v>
      </c>
      <c r="X108" s="233">
        <f t="shared" si="103"/>
        <v>14820</v>
      </c>
      <c r="Y108" s="233">
        <f t="shared" si="104"/>
        <v>16020</v>
      </c>
      <c r="Z108" s="233">
        <f t="shared" si="105"/>
        <v>17220</v>
      </c>
      <c r="AA108" s="229">
        <f t="shared" si="106"/>
        <v>518</v>
      </c>
      <c r="AB108" s="230">
        <f t="shared" si="107"/>
        <v>555</v>
      </c>
      <c r="AC108" s="230">
        <f t="shared" si="108"/>
        <v>667</v>
      </c>
      <c r="AD108" s="230">
        <f t="shared" si="109"/>
        <v>770</v>
      </c>
      <c r="AE108" s="231">
        <f t="shared" si="110"/>
        <v>860</v>
      </c>
      <c r="AF108" s="232">
        <f t="shared" si="111"/>
        <v>432</v>
      </c>
      <c r="AG108" s="233">
        <f t="shared" si="112"/>
        <v>463</v>
      </c>
      <c r="AH108" s="233">
        <f t="shared" si="113"/>
        <v>556</v>
      </c>
      <c r="AI108" s="233">
        <f t="shared" si="114"/>
        <v>642</v>
      </c>
      <c r="AJ108" s="234">
        <f t="shared" si="115"/>
        <v>717</v>
      </c>
      <c r="AK108" s="229">
        <f t="shared" si="116"/>
        <v>345</v>
      </c>
      <c r="AL108" s="230">
        <f t="shared" si="117"/>
        <v>370</v>
      </c>
      <c r="AM108" s="230">
        <f t="shared" si="118"/>
        <v>444</v>
      </c>
      <c r="AN108" s="230">
        <f t="shared" si="119"/>
        <v>513</v>
      </c>
      <c r="AO108" s="231">
        <f t="shared" si="120"/>
        <v>573</v>
      </c>
      <c r="AP108" s="232">
        <f t="shared" si="121"/>
        <v>259</v>
      </c>
      <c r="AQ108" s="233">
        <f t="shared" si="122"/>
        <v>277</v>
      </c>
      <c r="AR108" s="233">
        <f t="shared" si="123"/>
        <v>333</v>
      </c>
      <c r="AS108" s="233">
        <f t="shared" si="124"/>
        <v>385</v>
      </c>
      <c r="AT108" s="234">
        <f t="shared" si="125"/>
        <v>430</v>
      </c>
    </row>
  </sheetData>
  <mergeCells count="8">
    <mergeCell ref="AK6:AO6"/>
    <mergeCell ref="AP6:AT6"/>
    <mergeCell ref="C6:H6"/>
    <mergeCell ref="O6:T6"/>
    <mergeCell ref="U6:Z6"/>
    <mergeCell ref="I6:N6"/>
    <mergeCell ref="AF6:AJ6"/>
    <mergeCell ref="AA6:AE6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U106"/>
  <sheetViews>
    <sheetView workbookViewId="0">
      <pane xSplit="5" ySplit="6" topLeftCell="F7" activePane="bottomRight" state="frozen"/>
      <selection pane="topRight" activeCell="D1" sqref="D1"/>
      <selection pane="bottomLeft" activeCell="A5" sqref="A5"/>
      <selection pane="bottomRight" activeCell="G14" sqref="G14"/>
    </sheetView>
  </sheetViews>
  <sheetFormatPr defaultColWidth="8.85546875" defaultRowHeight="15" x14ac:dyDescent="0.25"/>
  <cols>
    <col min="1" max="1" width="2.42578125" customWidth="1"/>
    <col min="2" max="2" width="20" bestFit="1" customWidth="1"/>
    <col min="3" max="3" width="5.42578125" bestFit="1" customWidth="1"/>
    <col min="4" max="4" width="8.85546875" customWidth="1"/>
    <col min="5" max="5" width="10.140625" customWidth="1"/>
    <col min="6" max="6" width="11.7109375" bestFit="1" customWidth="1"/>
    <col min="7" max="14" width="11" bestFit="1" customWidth="1"/>
    <col min="15" max="22" width="11.28515625" bestFit="1" customWidth="1"/>
    <col min="23" max="23" width="17" bestFit="1" customWidth="1"/>
    <col min="24" max="39" width="17.28515625" bestFit="1" customWidth="1"/>
    <col min="40" max="41" width="11" bestFit="1" customWidth="1"/>
    <col min="42" max="42" width="17" bestFit="1" customWidth="1"/>
    <col min="43" max="43" width="6.42578125" customWidth="1"/>
    <col min="44" max="44" width="18.85546875" bestFit="1" customWidth="1"/>
    <col min="45" max="45" width="6.42578125" customWidth="1"/>
    <col min="46" max="46" width="7" customWidth="1"/>
    <col min="47" max="47" width="20" bestFit="1" customWidth="1"/>
  </cols>
  <sheetData>
    <row r="1" spans="1:47" ht="18.95" x14ac:dyDescent="0.25">
      <c r="A1" s="4" t="s">
        <v>471</v>
      </c>
      <c r="B1" s="4"/>
    </row>
    <row r="2" spans="1:47" x14ac:dyDescent="0.2">
      <c r="A2" s="6" t="s">
        <v>472</v>
      </c>
      <c r="B2" s="6"/>
    </row>
    <row r="3" spans="1:47" x14ac:dyDescent="0.2">
      <c r="A3" s="6" t="s">
        <v>470</v>
      </c>
      <c r="B3" s="6"/>
    </row>
    <row r="4" spans="1:47" x14ac:dyDescent="0.2">
      <c r="A4" s="6"/>
      <c r="B4" s="6"/>
    </row>
    <row r="5" spans="1:47" x14ac:dyDescent="0.2">
      <c r="C5" s="8" t="s">
        <v>693</v>
      </c>
      <c r="O5" s="10"/>
      <c r="P5" s="10"/>
      <c r="Q5" s="10"/>
      <c r="R5" s="10"/>
      <c r="S5" s="10"/>
      <c r="T5" s="10"/>
      <c r="U5" s="10"/>
      <c r="V5" s="10"/>
      <c r="AU5" s="8" t="s">
        <v>694</v>
      </c>
    </row>
    <row r="6" spans="1:47" x14ac:dyDescent="0.2">
      <c r="B6" s="3" t="s">
        <v>2</v>
      </c>
      <c r="C6" s="9" t="s">
        <v>32</v>
      </c>
      <c r="D6" s="3" t="s">
        <v>421</v>
      </c>
      <c r="E6" s="3" t="s">
        <v>422</v>
      </c>
      <c r="F6" s="3" t="s">
        <v>423</v>
      </c>
      <c r="G6" s="3" t="s">
        <v>424</v>
      </c>
      <c r="H6" s="3" t="s">
        <v>425</v>
      </c>
      <c r="I6" s="3" t="s">
        <v>426</v>
      </c>
      <c r="J6" s="3" t="s">
        <v>427</v>
      </c>
      <c r="K6" s="3" t="s">
        <v>428</v>
      </c>
      <c r="L6" s="3" t="s">
        <v>429</v>
      </c>
      <c r="M6" s="3" t="s">
        <v>430</v>
      </c>
      <c r="N6" s="3" t="s">
        <v>431</v>
      </c>
      <c r="O6" s="3" t="s">
        <v>432</v>
      </c>
      <c r="P6" s="3" t="s">
        <v>433</v>
      </c>
      <c r="Q6" s="3" t="s">
        <v>434</v>
      </c>
      <c r="R6" s="3" t="s">
        <v>435</v>
      </c>
      <c r="S6" s="3" t="s">
        <v>436</v>
      </c>
      <c r="T6" s="3" t="s">
        <v>437</v>
      </c>
      <c r="U6" s="3" t="s">
        <v>438</v>
      </c>
      <c r="V6" s="3" t="s">
        <v>439</v>
      </c>
      <c r="W6" s="3" t="s">
        <v>440</v>
      </c>
      <c r="X6" s="3" t="s">
        <v>441</v>
      </c>
      <c r="Y6" s="3" t="s">
        <v>442</v>
      </c>
      <c r="Z6" s="3" t="s">
        <v>443</v>
      </c>
      <c r="AA6" s="3" t="s">
        <v>444</v>
      </c>
      <c r="AB6" s="3" t="s">
        <v>445</v>
      </c>
      <c r="AC6" s="3" t="s">
        <v>446</v>
      </c>
      <c r="AD6" s="3" t="s">
        <v>447</v>
      </c>
      <c r="AE6" s="3" t="s">
        <v>448</v>
      </c>
      <c r="AF6" s="3" t="s">
        <v>449</v>
      </c>
      <c r="AG6" s="3" t="s">
        <v>450</v>
      </c>
      <c r="AH6" s="3" t="s">
        <v>451</v>
      </c>
      <c r="AI6" s="3" t="s">
        <v>452</v>
      </c>
      <c r="AJ6" s="3" t="s">
        <v>453</v>
      </c>
      <c r="AK6" s="3" t="s">
        <v>454</v>
      </c>
      <c r="AL6" s="3" t="s">
        <v>455</v>
      </c>
      <c r="AM6" s="3" t="s">
        <v>456</v>
      </c>
      <c r="AN6" s="3" t="s">
        <v>457</v>
      </c>
      <c r="AO6" s="3" t="s">
        <v>458</v>
      </c>
      <c r="AP6" s="3" t="s">
        <v>459</v>
      </c>
      <c r="AQ6" s="3" t="s">
        <v>460</v>
      </c>
      <c r="AR6" s="3" t="s">
        <v>461</v>
      </c>
      <c r="AS6" s="3" t="s">
        <v>462</v>
      </c>
      <c r="AT6" s="3" t="s">
        <v>463</v>
      </c>
      <c r="AU6" s="9" t="s">
        <v>464</v>
      </c>
    </row>
    <row r="7" spans="1:47" x14ac:dyDescent="0.2">
      <c r="B7" t="str">
        <f>AU7</f>
        <v>Alamance County</v>
      </c>
      <c r="C7">
        <v>37</v>
      </c>
      <c r="D7" t="s">
        <v>154</v>
      </c>
      <c r="E7" t="s">
        <v>155</v>
      </c>
      <c r="F7">
        <v>53900</v>
      </c>
      <c r="G7">
        <v>18900</v>
      </c>
      <c r="H7">
        <v>21600</v>
      </c>
      <c r="I7">
        <v>24300</v>
      </c>
      <c r="J7">
        <v>26950</v>
      </c>
      <c r="K7">
        <v>29150</v>
      </c>
      <c r="L7">
        <v>31300</v>
      </c>
      <c r="M7">
        <v>33450</v>
      </c>
      <c r="N7">
        <v>35600</v>
      </c>
      <c r="O7">
        <v>22680</v>
      </c>
      <c r="P7">
        <v>25920</v>
      </c>
      <c r="Q7">
        <v>29160</v>
      </c>
      <c r="R7">
        <v>32340</v>
      </c>
      <c r="S7">
        <v>34980</v>
      </c>
      <c r="T7">
        <v>37560</v>
      </c>
      <c r="U7">
        <v>40140</v>
      </c>
      <c r="V7">
        <v>42720</v>
      </c>
      <c r="W7" t="s">
        <v>156</v>
      </c>
      <c r="X7">
        <v>21450</v>
      </c>
      <c r="Y7">
        <v>24500</v>
      </c>
      <c r="Z7">
        <v>27550</v>
      </c>
      <c r="AA7">
        <v>30600</v>
      </c>
      <c r="AB7">
        <v>33050</v>
      </c>
      <c r="AC7">
        <v>35500</v>
      </c>
      <c r="AD7">
        <v>37950</v>
      </c>
      <c r="AE7">
        <v>40400</v>
      </c>
      <c r="AF7">
        <v>25740</v>
      </c>
      <c r="AG7">
        <v>29400</v>
      </c>
      <c r="AH7">
        <v>33060</v>
      </c>
      <c r="AI7">
        <v>36720</v>
      </c>
      <c r="AJ7">
        <v>39660</v>
      </c>
      <c r="AK7">
        <v>42600</v>
      </c>
      <c r="AL7">
        <v>45540</v>
      </c>
      <c r="AM7">
        <v>48480</v>
      </c>
      <c r="AN7" t="s">
        <v>157</v>
      </c>
      <c r="AO7" t="s">
        <v>157</v>
      </c>
      <c r="AP7" t="s">
        <v>158</v>
      </c>
      <c r="AQ7">
        <v>1</v>
      </c>
      <c r="AR7" t="s">
        <v>43</v>
      </c>
      <c r="AS7" t="s">
        <v>35</v>
      </c>
      <c r="AT7">
        <v>1</v>
      </c>
      <c r="AU7" t="s">
        <v>43</v>
      </c>
    </row>
    <row r="8" spans="1:47" x14ac:dyDescent="0.2">
      <c r="B8" t="str">
        <f t="shared" ref="B8:B71" si="0">AU8</f>
        <v>Alexander County</v>
      </c>
      <c r="C8">
        <v>37</v>
      </c>
      <c r="D8" t="s">
        <v>159</v>
      </c>
      <c r="E8" t="s">
        <v>160</v>
      </c>
      <c r="F8">
        <v>48800</v>
      </c>
      <c r="G8">
        <v>17300</v>
      </c>
      <c r="H8">
        <v>19800</v>
      </c>
      <c r="I8">
        <v>22250</v>
      </c>
      <c r="J8">
        <v>24700</v>
      </c>
      <c r="K8">
        <v>26700</v>
      </c>
      <c r="L8">
        <v>28700</v>
      </c>
      <c r="M8">
        <v>30650</v>
      </c>
      <c r="N8">
        <v>32650</v>
      </c>
      <c r="O8">
        <v>20760</v>
      </c>
      <c r="P8">
        <v>23760</v>
      </c>
      <c r="Q8">
        <v>26700</v>
      </c>
      <c r="R8">
        <v>29640</v>
      </c>
      <c r="S8">
        <v>32040</v>
      </c>
      <c r="T8">
        <v>34440</v>
      </c>
      <c r="U8">
        <v>36780</v>
      </c>
      <c r="V8">
        <v>39180</v>
      </c>
      <c r="W8" t="s">
        <v>156</v>
      </c>
      <c r="X8">
        <v>18900</v>
      </c>
      <c r="Y8">
        <v>21600</v>
      </c>
      <c r="Z8">
        <v>24300</v>
      </c>
      <c r="AA8">
        <v>26950</v>
      </c>
      <c r="AB8">
        <v>29150</v>
      </c>
      <c r="AC8">
        <v>31300</v>
      </c>
      <c r="AD8">
        <v>33450</v>
      </c>
      <c r="AE8">
        <v>35600</v>
      </c>
      <c r="AF8">
        <v>22680</v>
      </c>
      <c r="AG8">
        <v>25920</v>
      </c>
      <c r="AH8">
        <v>29160</v>
      </c>
      <c r="AI8">
        <v>32340</v>
      </c>
      <c r="AJ8">
        <v>34980</v>
      </c>
      <c r="AK8">
        <v>37560</v>
      </c>
      <c r="AL8">
        <v>40140</v>
      </c>
      <c r="AM8">
        <v>42720</v>
      </c>
      <c r="AN8" t="s">
        <v>161</v>
      </c>
      <c r="AO8" t="s">
        <v>161</v>
      </c>
      <c r="AP8" t="s">
        <v>158</v>
      </c>
      <c r="AQ8">
        <v>1</v>
      </c>
      <c r="AR8" t="s">
        <v>44</v>
      </c>
      <c r="AS8" t="s">
        <v>35</v>
      </c>
      <c r="AT8">
        <v>3</v>
      </c>
      <c r="AU8" t="s">
        <v>44</v>
      </c>
    </row>
    <row r="9" spans="1:47" x14ac:dyDescent="0.2">
      <c r="B9" t="str">
        <f t="shared" si="0"/>
        <v>Alleghany County</v>
      </c>
      <c r="C9">
        <v>37</v>
      </c>
      <c r="D9" t="s">
        <v>162</v>
      </c>
      <c r="E9" t="s">
        <v>163</v>
      </c>
      <c r="F9">
        <v>41700</v>
      </c>
      <c r="G9">
        <v>17300</v>
      </c>
      <c r="H9">
        <v>19800</v>
      </c>
      <c r="I9">
        <v>22250</v>
      </c>
      <c r="J9">
        <v>24700</v>
      </c>
      <c r="K9">
        <v>26700</v>
      </c>
      <c r="L9">
        <v>28700</v>
      </c>
      <c r="M9">
        <v>30650</v>
      </c>
      <c r="N9">
        <v>32650</v>
      </c>
      <c r="O9">
        <v>20760</v>
      </c>
      <c r="P9">
        <v>23760</v>
      </c>
      <c r="Q9">
        <v>26700</v>
      </c>
      <c r="R9">
        <v>29640</v>
      </c>
      <c r="S9">
        <v>32040</v>
      </c>
      <c r="T9">
        <v>34440</v>
      </c>
      <c r="U9">
        <v>36780</v>
      </c>
      <c r="V9">
        <v>39180</v>
      </c>
      <c r="W9" t="s">
        <v>156</v>
      </c>
      <c r="X9">
        <v>17900</v>
      </c>
      <c r="Y9">
        <v>20450</v>
      </c>
      <c r="Z9">
        <v>23000</v>
      </c>
      <c r="AA9">
        <v>25550</v>
      </c>
      <c r="AB9">
        <v>27600</v>
      </c>
      <c r="AC9">
        <v>29650</v>
      </c>
      <c r="AD9">
        <v>31700</v>
      </c>
      <c r="AE9">
        <v>33750</v>
      </c>
      <c r="AF9">
        <v>21480</v>
      </c>
      <c r="AG9">
        <v>24540</v>
      </c>
      <c r="AH9">
        <v>27600</v>
      </c>
      <c r="AI9">
        <v>30660</v>
      </c>
      <c r="AJ9">
        <v>33120</v>
      </c>
      <c r="AK9">
        <v>35580</v>
      </c>
      <c r="AL9">
        <v>38040</v>
      </c>
      <c r="AM9">
        <v>40500</v>
      </c>
      <c r="AN9" t="s">
        <v>164</v>
      </c>
      <c r="AO9" t="s">
        <v>164</v>
      </c>
      <c r="AP9" t="s">
        <v>158</v>
      </c>
      <c r="AQ9">
        <v>0</v>
      </c>
      <c r="AR9" t="s">
        <v>45</v>
      </c>
      <c r="AS9" t="s">
        <v>35</v>
      </c>
      <c r="AT9">
        <v>5</v>
      </c>
      <c r="AU9" t="s">
        <v>45</v>
      </c>
    </row>
    <row r="10" spans="1:47" x14ac:dyDescent="0.2">
      <c r="B10" t="str">
        <f t="shared" si="0"/>
        <v>Anson County</v>
      </c>
      <c r="C10">
        <v>37</v>
      </c>
      <c r="D10" t="s">
        <v>165</v>
      </c>
      <c r="E10" t="s">
        <v>166</v>
      </c>
      <c r="F10">
        <v>41600</v>
      </c>
      <c r="G10">
        <v>17300</v>
      </c>
      <c r="H10">
        <v>19800</v>
      </c>
      <c r="I10">
        <v>22250</v>
      </c>
      <c r="J10">
        <v>24700</v>
      </c>
      <c r="K10">
        <v>26700</v>
      </c>
      <c r="L10">
        <v>28700</v>
      </c>
      <c r="M10">
        <v>30650</v>
      </c>
      <c r="N10">
        <v>32650</v>
      </c>
      <c r="O10">
        <v>20760</v>
      </c>
      <c r="P10">
        <v>23760</v>
      </c>
      <c r="Q10">
        <v>26700</v>
      </c>
      <c r="R10">
        <v>29640</v>
      </c>
      <c r="S10">
        <v>32040</v>
      </c>
      <c r="T10">
        <v>34440</v>
      </c>
      <c r="U10">
        <v>36780</v>
      </c>
      <c r="V10">
        <v>39180</v>
      </c>
      <c r="W10" t="s">
        <v>156</v>
      </c>
      <c r="X10">
        <v>17750</v>
      </c>
      <c r="Y10">
        <v>20300</v>
      </c>
      <c r="Z10">
        <v>22850</v>
      </c>
      <c r="AA10">
        <v>25350</v>
      </c>
      <c r="AB10">
        <v>27400</v>
      </c>
      <c r="AC10">
        <v>29450</v>
      </c>
      <c r="AD10">
        <v>31450</v>
      </c>
      <c r="AE10">
        <v>33500</v>
      </c>
      <c r="AF10">
        <v>21300</v>
      </c>
      <c r="AG10">
        <v>24360</v>
      </c>
      <c r="AH10">
        <v>27420</v>
      </c>
      <c r="AI10">
        <v>30420</v>
      </c>
      <c r="AJ10">
        <v>32880</v>
      </c>
      <c r="AK10">
        <v>35340</v>
      </c>
      <c r="AL10">
        <v>37740</v>
      </c>
      <c r="AM10">
        <v>40200</v>
      </c>
      <c r="AN10" t="s">
        <v>167</v>
      </c>
      <c r="AO10" t="s">
        <v>167</v>
      </c>
      <c r="AP10" t="s">
        <v>158</v>
      </c>
      <c r="AQ10">
        <v>1</v>
      </c>
      <c r="AR10" t="s">
        <v>46</v>
      </c>
      <c r="AS10" t="s">
        <v>35</v>
      </c>
      <c r="AT10">
        <v>7</v>
      </c>
      <c r="AU10" t="s">
        <v>46</v>
      </c>
    </row>
    <row r="11" spans="1:47" x14ac:dyDescent="0.2">
      <c r="B11" t="str">
        <f t="shared" si="0"/>
        <v>Ashe County</v>
      </c>
      <c r="C11">
        <v>37</v>
      </c>
      <c r="D11" t="s">
        <v>168</v>
      </c>
      <c r="E11" t="s">
        <v>169</v>
      </c>
      <c r="F11">
        <v>49600</v>
      </c>
      <c r="G11">
        <v>17400</v>
      </c>
      <c r="H11">
        <v>19850</v>
      </c>
      <c r="I11">
        <v>22350</v>
      </c>
      <c r="J11">
        <v>24800</v>
      </c>
      <c r="K11">
        <v>26800</v>
      </c>
      <c r="L11">
        <v>28800</v>
      </c>
      <c r="M11">
        <v>30800</v>
      </c>
      <c r="N11">
        <v>32750</v>
      </c>
      <c r="O11">
        <v>20880</v>
      </c>
      <c r="P11">
        <v>23820</v>
      </c>
      <c r="Q11">
        <v>26820</v>
      </c>
      <c r="R11">
        <v>29760</v>
      </c>
      <c r="S11">
        <v>32160</v>
      </c>
      <c r="T11">
        <v>34560</v>
      </c>
      <c r="U11">
        <v>36960</v>
      </c>
      <c r="V11">
        <v>39300</v>
      </c>
      <c r="W11" t="s">
        <v>156</v>
      </c>
      <c r="X11">
        <v>19600</v>
      </c>
      <c r="Y11">
        <v>22400</v>
      </c>
      <c r="Z11">
        <v>25200</v>
      </c>
      <c r="AA11">
        <v>28000</v>
      </c>
      <c r="AB11">
        <v>30250</v>
      </c>
      <c r="AC11">
        <v>32500</v>
      </c>
      <c r="AD11">
        <v>34750</v>
      </c>
      <c r="AE11">
        <v>37000</v>
      </c>
      <c r="AF11">
        <v>23520</v>
      </c>
      <c r="AG11">
        <v>26880</v>
      </c>
      <c r="AH11">
        <v>30240</v>
      </c>
      <c r="AI11">
        <v>33600</v>
      </c>
      <c r="AJ11">
        <v>36300</v>
      </c>
      <c r="AK11">
        <v>39000</v>
      </c>
      <c r="AL11">
        <v>41700</v>
      </c>
      <c r="AM11">
        <v>44400</v>
      </c>
      <c r="AN11" t="s">
        <v>170</v>
      </c>
      <c r="AO11" t="s">
        <v>170</v>
      </c>
      <c r="AP11" t="s">
        <v>158</v>
      </c>
      <c r="AQ11">
        <v>0</v>
      </c>
      <c r="AR11" t="s">
        <v>47</v>
      </c>
      <c r="AS11" t="s">
        <v>35</v>
      </c>
      <c r="AT11">
        <v>9</v>
      </c>
      <c r="AU11" t="s">
        <v>47</v>
      </c>
    </row>
    <row r="12" spans="1:47" x14ac:dyDescent="0.2">
      <c r="B12" t="str">
        <f t="shared" si="0"/>
        <v>Avery County</v>
      </c>
      <c r="C12">
        <v>37</v>
      </c>
      <c r="D12" t="s">
        <v>171</v>
      </c>
      <c r="E12" t="s">
        <v>172</v>
      </c>
      <c r="F12">
        <v>50100</v>
      </c>
      <c r="G12">
        <v>17550</v>
      </c>
      <c r="H12">
        <v>20050</v>
      </c>
      <c r="I12">
        <v>22550</v>
      </c>
      <c r="J12">
        <v>25050</v>
      </c>
      <c r="K12">
        <v>27100</v>
      </c>
      <c r="L12">
        <v>29100</v>
      </c>
      <c r="M12">
        <v>31100</v>
      </c>
      <c r="N12">
        <v>33100</v>
      </c>
      <c r="O12">
        <v>21060</v>
      </c>
      <c r="P12">
        <v>24060</v>
      </c>
      <c r="Q12">
        <v>27060</v>
      </c>
      <c r="R12">
        <v>30060</v>
      </c>
      <c r="S12">
        <v>32520</v>
      </c>
      <c r="T12">
        <v>34920</v>
      </c>
      <c r="U12">
        <v>37320</v>
      </c>
      <c r="V12">
        <v>39720</v>
      </c>
      <c r="W12" t="s">
        <v>156</v>
      </c>
      <c r="X12">
        <v>19200</v>
      </c>
      <c r="Y12">
        <v>21950</v>
      </c>
      <c r="Z12">
        <v>24700</v>
      </c>
      <c r="AA12">
        <v>27400</v>
      </c>
      <c r="AB12">
        <v>29600</v>
      </c>
      <c r="AC12">
        <v>31800</v>
      </c>
      <c r="AD12">
        <v>34000</v>
      </c>
      <c r="AE12">
        <v>36200</v>
      </c>
      <c r="AF12">
        <v>23040</v>
      </c>
      <c r="AG12">
        <v>26340</v>
      </c>
      <c r="AH12">
        <v>29640</v>
      </c>
      <c r="AI12">
        <v>32880</v>
      </c>
      <c r="AJ12">
        <v>35520</v>
      </c>
      <c r="AK12">
        <v>38160</v>
      </c>
      <c r="AL12">
        <v>40800</v>
      </c>
      <c r="AM12">
        <v>43440</v>
      </c>
      <c r="AN12" t="s">
        <v>173</v>
      </c>
      <c r="AO12" t="s">
        <v>173</v>
      </c>
      <c r="AP12" t="s">
        <v>158</v>
      </c>
      <c r="AQ12">
        <v>0</v>
      </c>
      <c r="AR12" t="s">
        <v>48</v>
      </c>
      <c r="AS12" t="s">
        <v>35</v>
      </c>
      <c r="AT12">
        <v>11</v>
      </c>
      <c r="AU12" t="s">
        <v>48</v>
      </c>
    </row>
    <row r="13" spans="1:47" x14ac:dyDescent="0.2">
      <c r="B13" t="str">
        <f t="shared" si="0"/>
        <v>Beaufort County</v>
      </c>
      <c r="C13">
        <v>37</v>
      </c>
      <c r="D13" t="s">
        <v>174</v>
      </c>
      <c r="E13" t="s">
        <v>175</v>
      </c>
      <c r="F13">
        <v>53300</v>
      </c>
      <c r="G13">
        <v>18700</v>
      </c>
      <c r="H13">
        <v>21350</v>
      </c>
      <c r="I13">
        <v>24000</v>
      </c>
      <c r="J13">
        <v>26650</v>
      </c>
      <c r="K13">
        <v>28800</v>
      </c>
      <c r="L13">
        <v>30950</v>
      </c>
      <c r="M13">
        <v>33050</v>
      </c>
      <c r="N13">
        <v>35200</v>
      </c>
      <c r="O13">
        <v>22440</v>
      </c>
      <c r="P13">
        <v>25620</v>
      </c>
      <c r="Q13">
        <v>28800</v>
      </c>
      <c r="R13">
        <v>31980</v>
      </c>
      <c r="S13">
        <v>34560</v>
      </c>
      <c r="T13">
        <v>37140</v>
      </c>
      <c r="U13">
        <v>39660</v>
      </c>
      <c r="V13">
        <v>42240</v>
      </c>
      <c r="W13" t="s">
        <v>156</v>
      </c>
      <c r="X13">
        <v>20200</v>
      </c>
      <c r="Y13">
        <v>23050</v>
      </c>
      <c r="Z13">
        <v>25950</v>
      </c>
      <c r="AA13">
        <v>28800</v>
      </c>
      <c r="AB13">
        <v>31150</v>
      </c>
      <c r="AC13">
        <v>33450</v>
      </c>
      <c r="AD13">
        <v>35750</v>
      </c>
      <c r="AE13">
        <v>38050</v>
      </c>
      <c r="AF13">
        <v>24240</v>
      </c>
      <c r="AG13">
        <v>27660</v>
      </c>
      <c r="AH13">
        <v>31140</v>
      </c>
      <c r="AI13">
        <v>34560</v>
      </c>
      <c r="AJ13">
        <v>37380</v>
      </c>
      <c r="AK13">
        <v>40140</v>
      </c>
      <c r="AL13">
        <v>42900</v>
      </c>
      <c r="AM13">
        <v>45660</v>
      </c>
      <c r="AN13" t="s">
        <v>176</v>
      </c>
      <c r="AO13" t="s">
        <v>176</v>
      </c>
      <c r="AP13" t="s">
        <v>158</v>
      </c>
      <c r="AQ13">
        <v>0</v>
      </c>
      <c r="AR13" t="s">
        <v>49</v>
      </c>
      <c r="AS13" t="s">
        <v>35</v>
      </c>
      <c r="AT13">
        <v>13</v>
      </c>
      <c r="AU13" t="s">
        <v>49</v>
      </c>
    </row>
    <row r="14" spans="1:47" x14ac:dyDescent="0.2">
      <c r="B14" t="str">
        <f t="shared" si="0"/>
        <v>Bertie County</v>
      </c>
      <c r="C14">
        <v>37</v>
      </c>
      <c r="D14" t="s">
        <v>177</v>
      </c>
      <c r="E14" t="s">
        <v>178</v>
      </c>
      <c r="F14">
        <v>42700</v>
      </c>
      <c r="G14">
        <v>17300</v>
      </c>
      <c r="H14">
        <v>19800</v>
      </c>
      <c r="I14">
        <v>22250</v>
      </c>
      <c r="J14">
        <v>24700</v>
      </c>
      <c r="K14">
        <v>26700</v>
      </c>
      <c r="L14">
        <v>28700</v>
      </c>
      <c r="M14">
        <v>30650</v>
      </c>
      <c r="N14">
        <v>32650</v>
      </c>
      <c r="O14">
        <v>20760</v>
      </c>
      <c r="P14">
        <v>23760</v>
      </c>
      <c r="Q14">
        <v>26700</v>
      </c>
      <c r="R14">
        <v>29640</v>
      </c>
      <c r="S14">
        <v>32040</v>
      </c>
      <c r="T14">
        <v>34440</v>
      </c>
      <c r="U14">
        <v>36780</v>
      </c>
      <c r="V14">
        <v>39180</v>
      </c>
      <c r="W14" t="s">
        <v>156</v>
      </c>
      <c r="X14">
        <v>20150</v>
      </c>
      <c r="Y14">
        <v>23000</v>
      </c>
      <c r="Z14">
        <v>25900</v>
      </c>
      <c r="AA14">
        <v>28750</v>
      </c>
      <c r="AB14">
        <v>31050</v>
      </c>
      <c r="AC14">
        <v>33350</v>
      </c>
      <c r="AD14">
        <v>35650</v>
      </c>
      <c r="AE14">
        <v>37950</v>
      </c>
      <c r="AF14">
        <v>24180</v>
      </c>
      <c r="AG14">
        <v>27600</v>
      </c>
      <c r="AH14">
        <v>31080</v>
      </c>
      <c r="AI14">
        <v>34500</v>
      </c>
      <c r="AJ14">
        <v>37260</v>
      </c>
      <c r="AK14">
        <v>40020</v>
      </c>
      <c r="AL14">
        <v>42780</v>
      </c>
      <c r="AM14">
        <v>45540</v>
      </c>
      <c r="AN14" t="s">
        <v>179</v>
      </c>
      <c r="AO14" t="s">
        <v>179</v>
      </c>
      <c r="AP14" t="s">
        <v>158</v>
      </c>
      <c r="AQ14">
        <v>0</v>
      </c>
      <c r="AR14" t="s">
        <v>50</v>
      </c>
      <c r="AS14" t="s">
        <v>35</v>
      </c>
      <c r="AT14">
        <v>15</v>
      </c>
      <c r="AU14" t="s">
        <v>50</v>
      </c>
    </row>
    <row r="15" spans="1:47" x14ac:dyDescent="0.2">
      <c r="B15" t="str">
        <f t="shared" si="0"/>
        <v>Bladen County</v>
      </c>
      <c r="C15">
        <v>37</v>
      </c>
      <c r="D15" t="s">
        <v>180</v>
      </c>
      <c r="E15" t="s">
        <v>181</v>
      </c>
      <c r="F15">
        <v>43800</v>
      </c>
      <c r="G15">
        <v>17300</v>
      </c>
      <c r="H15">
        <v>19800</v>
      </c>
      <c r="I15">
        <v>22250</v>
      </c>
      <c r="J15">
        <v>24700</v>
      </c>
      <c r="K15">
        <v>26700</v>
      </c>
      <c r="L15">
        <v>28700</v>
      </c>
      <c r="M15">
        <v>30650</v>
      </c>
      <c r="N15">
        <v>32650</v>
      </c>
      <c r="O15">
        <v>20760</v>
      </c>
      <c r="P15">
        <v>23760</v>
      </c>
      <c r="Q15">
        <v>26700</v>
      </c>
      <c r="R15">
        <v>29640</v>
      </c>
      <c r="S15">
        <v>32040</v>
      </c>
      <c r="T15">
        <v>34440</v>
      </c>
      <c r="U15">
        <v>36780</v>
      </c>
      <c r="V15">
        <v>39180</v>
      </c>
      <c r="W15" t="s">
        <v>156</v>
      </c>
      <c r="X15">
        <v>18750</v>
      </c>
      <c r="Y15">
        <v>21400</v>
      </c>
      <c r="Z15">
        <v>24100</v>
      </c>
      <c r="AA15">
        <v>26750</v>
      </c>
      <c r="AB15">
        <v>28900</v>
      </c>
      <c r="AC15">
        <v>31050</v>
      </c>
      <c r="AD15">
        <v>33200</v>
      </c>
      <c r="AE15">
        <v>35350</v>
      </c>
      <c r="AF15">
        <v>22500</v>
      </c>
      <c r="AG15">
        <v>25680</v>
      </c>
      <c r="AH15">
        <v>28920</v>
      </c>
      <c r="AI15">
        <v>32100</v>
      </c>
      <c r="AJ15">
        <v>34680</v>
      </c>
      <c r="AK15">
        <v>37260</v>
      </c>
      <c r="AL15">
        <v>39840</v>
      </c>
      <c r="AM15">
        <v>42420</v>
      </c>
      <c r="AN15" t="s">
        <v>182</v>
      </c>
      <c r="AO15" t="s">
        <v>182</v>
      </c>
      <c r="AP15" t="s">
        <v>158</v>
      </c>
      <c r="AQ15">
        <v>0</v>
      </c>
      <c r="AR15" t="s">
        <v>51</v>
      </c>
      <c r="AS15" t="s">
        <v>35</v>
      </c>
      <c r="AT15">
        <v>17</v>
      </c>
      <c r="AU15" t="s">
        <v>51</v>
      </c>
    </row>
    <row r="16" spans="1:47" x14ac:dyDescent="0.2">
      <c r="B16" t="str">
        <f t="shared" si="0"/>
        <v>Brunswick County</v>
      </c>
      <c r="C16">
        <v>37</v>
      </c>
      <c r="D16" t="s">
        <v>183</v>
      </c>
      <c r="E16" t="s">
        <v>184</v>
      </c>
      <c r="F16">
        <v>58700</v>
      </c>
      <c r="G16">
        <v>20900</v>
      </c>
      <c r="H16">
        <v>23850</v>
      </c>
      <c r="I16">
        <v>26850</v>
      </c>
      <c r="J16">
        <v>29800</v>
      </c>
      <c r="K16">
        <v>32200</v>
      </c>
      <c r="L16">
        <v>34600</v>
      </c>
      <c r="M16">
        <v>37000</v>
      </c>
      <c r="N16">
        <v>39350</v>
      </c>
      <c r="O16">
        <v>25080</v>
      </c>
      <c r="P16">
        <v>28620</v>
      </c>
      <c r="Q16">
        <v>32220</v>
      </c>
      <c r="R16">
        <v>35760</v>
      </c>
      <c r="S16">
        <v>38640</v>
      </c>
      <c r="T16">
        <v>41520</v>
      </c>
      <c r="U16">
        <v>44400</v>
      </c>
      <c r="V16">
        <v>47220</v>
      </c>
      <c r="W16" t="s">
        <v>156</v>
      </c>
      <c r="X16">
        <v>21950</v>
      </c>
      <c r="Y16">
        <v>25100</v>
      </c>
      <c r="Z16">
        <v>28250</v>
      </c>
      <c r="AA16">
        <v>31350</v>
      </c>
      <c r="AB16">
        <v>33900</v>
      </c>
      <c r="AC16">
        <v>36400</v>
      </c>
      <c r="AD16">
        <v>38900</v>
      </c>
      <c r="AE16">
        <v>41400</v>
      </c>
      <c r="AF16">
        <v>26340</v>
      </c>
      <c r="AG16">
        <v>30120</v>
      </c>
      <c r="AH16">
        <v>33900</v>
      </c>
      <c r="AI16">
        <v>37620</v>
      </c>
      <c r="AJ16">
        <v>40680</v>
      </c>
      <c r="AK16">
        <v>43680</v>
      </c>
      <c r="AL16">
        <v>46680</v>
      </c>
      <c r="AM16">
        <v>49680</v>
      </c>
      <c r="AN16" t="s">
        <v>185</v>
      </c>
      <c r="AO16" t="s">
        <v>185</v>
      </c>
      <c r="AP16" t="s">
        <v>158</v>
      </c>
      <c r="AQ16">
        <v>1</v>
      </c>
      <c r="AR16" t="s">
        <v>52</v>
      </c>
      <c r="AS16" t="s">
        <v>35</v>
      </c>
      <c r="AT16">
        <v>19</v>
      </c>
      <c r="AU16" t="s">
        <v>52</v>
      </c>
    </row>
    <row r="17" spans="2:47" x14ac:dyDescent="0.2">
      <c r="B17" t="str">
        <f t="shared" si="0"/>
        <v>Buncombe County</v>
      </c>
      <c r="C17">
        <v>37</v>
      </c>
      <c r="D17" t="s">
        <v>186</v>
      </c>
      <c r="E17" t="s">
        <v>187</v>
      </c>
      <c r="F17">
        <v>56000</v>
      </c>
      <c r="G17">
        <v>19600</v>
      </c>
      <c r="H17">
        <v>22400</v>
      </c>
      <c r="I17">
        <v>25200</v>
      </c>
      <c r="J17">
        <v>28000</v>
      </c>
      <c r="K17">
        <v>30250</v>
      </c>
      <c r="L17">
        <v>32500</v>
      </c>
      <c r="M17">
        <v>34750</v>
      </c>
      <c r="N17">
        <v>37000</v>
      </c>
      <c r="O17">
        <v>23520</v>
      </c>
      <c r="P17">
        <v>26880</v>
      </c>
      <c r="Q17">
        <v>30240</v>
      </c>
      <c r="R17">
        <v>33600</v>
      </c>
      <c r="S17">
        <v>36300</v>
      </c>
      <c r="T17">
        <v>39000</v>
      </c>
      <c r="U17">
        <v>41700</v>
      </c>
      <c r="V17">
        <v>44400</v>
      </c>
      <c r="W17" t="s">
        <v>188</v>
      </c>
      <c r="AN17" t="s">
        <v>189</v>
      </c>
      <c r="AO17" t="s">
        <v>189</v>
      </c>
      <c r="AP17" t="s">
        <v>158</v>
      </c>
      <c r="AQ17">
        <v>1</v>
      </c>
      <c r="AR17" t="s">
        <v>53</v>
      </c>
      <c r="AS17" t="s">
        <v>35</v>
      </c>
      <c r="AT17">
        <v>21</v>
      </c>
      <c r="AU17" t="s">
        <v>53</v>
      </c>
    </row>
    <row r="18" spans="2:47" x14ac:dyDescent="0.2">
      <c r="B18" t="str">
        <f t="shared" si="0"/>
        <v>Burke County</v>
      </c>
      <c r="C18">
        <v>37</v>
      </c>
      <c r="D18" t="s">
        <v>159</v>
      </c>
      <c r="E18" t="s">
        <v>160</v>
      </c>
      <c r="F18">
        <v>48800</v>
      </c>
      <c r="G18">
        <v>17300</v>
      </c>
      <c r="H18">
        <v>19800</v>
      </c>
      <c r="I18">
        <v>22250</v>
      </c>
      <c r="J18">
        <v>24700</v>
      </c>
      <c r="K18">
        <v>26700</v>
      </c>
      <c r="L18">
        <v>28700</v>
      </c>
      <c r="M18">
        <v>30650</v>
      </c>
      <c r="N18">
        <v>32650</v>
      </c>
      <c r="O18">
        <v>20760</v>
      </c>
      <c r="P18">
        <v>23760</v>
      </c>
      <c r="Q18">
        <v>26700</v>
      </c>
      <c r="R18">
        <v>29640</v>
      </c>
      <c r="S18">
        <v>32040</v>
      </c>
      <c r="T18">
        <v>34440</v>
      </c>
      <c r="U18">
        <v>36780</v>
      </c>
      <c r="V18">
        <v>39180</v>
      </c>
      <c r="W18" t="s">
        <v>156</v>
      </c>
      <c r="X18">
        <v>18900</v>
      </c>
      <c r="Y18">
        <v>21600</v>
      </c>
      <c r="Z18">
        <v>24300</v>
      </c>
      <c r="AA18">
        <v>26950</v>
      </c>
      <c r="AB18">
        <v>29150</v>
      </c>
      <c r="AC18">
        <v>31300</v>
      </c>
      <c r="AD18">
        <v>33450</v>
      </c>
      <c r="AE18">
        <v>35600</v>
      </c>
      <c r="AF18">
        <v>22680</v>
      </c>
      <c r="AG18">
        <v>25920</v>
      </c>
      <c r="AH18">
        <v>29160</v>
      </c>
      <c r="AI18">
        <v>32340</v>
      </c>
      <c r="AJ18">
        <v>34980</v>
      </c>
      <c r="AK18">
        <v>37560</v>
      </c>
      <c r="AL18">
        <v>40140</v>
      </c>
      <c r="AM18">
        <v>42720</v>
      </c>
      <c r="AN18" t="s">
        <v>190</v>
      </c>
      <c r="AO18" t="s">
        <v>190</v>
      </c>
      <c r="AP18" t="s">
        <v>158</v>
      </c>
      <c r="AQ18">
        <v>1</v>
      </c>
      <c r="AR18" t="s">
        <v>54</v>
      </c>
      <c r="AS18" t="s">
        <v>35</v>
      </c>
      <c r="AT18">
        <v>23</v>
      </c>
      <c r="AU18" t="s">
        <v>54</v>
      </c>
    </row>
    <row r="19" spans="2:47" x14ac:dyDescent="0.2">
      <c r="B19" t="str">
        <f t="shared" si="0"/>
        <v>Cabarrus County</v>
      </c>
      <c r="C19">
        <v>37</v>
      </c>
      <c r="D19" t="s">
        <v>191</v>
      </c>
      <c r="E19" t="s">
        <v>192</v>
      </c>
      <c r="F19">
        <v>64200</v>
      </c>
      <c r="G19">
        <v>22500</v>
      </c>
      <c r="H19">
        <v>25700</v>
      </c>
      <c r="I19">
        <v>28900</v>
      </c>
      <c r="J19">
        <v>32100</v>
      </c>
      <c r="K19">
        <v>34700</v>
      </c>
      <c r="L19">
        <v>37250</v>
      </c>
      <c r="M19">
        <v>39850</v>
      </c>
      <c r="N19">
        <v>42400</v>
      </c>
      <c r="O19">
        <v>27000</v>
      </c>
      <c r="P19">
        <v>30840</v>
      </c>
      <c r="Q19">
        <v>34680</v>
      </c>
      <c r="R19">
        <v>38520</v>
      </c>
      <c r="S19">
        <v>41640</v>
      </c>
      <c r="T19">
        <v>44700</v>
      </c>
      <c r="U19">
        <v>47820</v>
      </c>
      <c r="V19">
        <v>50880</v>
      </c>
      <c r="W19" t="s">
        <v>156</v>
      </c>
      <c r="X19">
        <v>24050</v>
      </c>
      <c r="Y19">
        <v>27450</v>
      </c>
      <c r="Z19">
        <v>30900</v>
      </c>
      <c r="AA19">
        <v>34300</v>
      </c>
      <c r="AB19">
        <v>37050</v>
      </c>
      <c r="AC19">
        <v>39800</v>
      </c>
      <c r="AD19">
        <v>42550</v>
      </c>
      <c r="AE19">
        <v>45300</v>
      </c>
      <c r="AF19">
        <v>28860</v>
      </c>
      <c r="AG19">
        <v>32940</v>
      </c>
      <c r="AH19">
        <v>37080</v>
      </c>
      <c r="AI19">
        <v>41160</v>
      </c>
      <c r="AJ19">
        <v>44460</v>
      </c>
      <c r="AK19">
        <v>47760</v>
      </c>
      <c r="AL19">
        <v>51060</v>
      </c>
      <c r="AM19">
        <v>54360</v>
      </c>
      <c r="AN19" t="s">
        <v>193</v>
      </c>
      <c r="AO19" t="s">
        <v>193</v>
      </c>
      <c r="AP19" t="s">
        <v>158</v>
      </c>
      <c r="AQ19">
        <v>1</v>
      </c>
      <c r="AR19" t="s">
        <v>55</v>
      </c>
      <c r="AS19" t="s">
        <v>35</v>
      </c>
      <c r="AT19">
        <v>25</v>
      </c>
      <c r="AU19" t="s">
        <v>55</v>
      </c>
    </row>
    <row r="20" spans="2:47" x14ac:dyDescent="0.2">
      <c r="B20" t="str">
        <f t="shared" si="0"/>
        <v>Caldwell County</v>
      </c>
      <c r="C20">
        <v>37</v>
      </c>
      <c r="D20" t="s">
        <v>159</v>
      </c>
      <c r="E20" t="s">
        <v>160</v>
      </c>
      <c r="F20">
        <v>48800</v>
      </c>
      <c r="G20">
        <v>17300</v>
      </c>
      <c r="H20">
        <v>19800</v>
      </c>
      <c r="I20">
        <v>22250</v>
      </c>
      <c r="J20">
        <v>24700</v>
      </c>
      <c r="K20">
        <v>26700</v>
      </c>
      <c r="L20">
        <v>28700</v>
      </c>
      <c r="M20">
        <v>30650</v>
      </c>
      <c r="N20">
        <v>32650</v>
      </c>
      <c r="O20">
        <v>20760</v>
      </c>
      <c r="P20">
        <v>23760</v>
      </c>
      <c r="Q20">
        <v>26700</v>
      </c>
      <c r="R20">
        <v>29640</v>
      </c>
      <c r="S20">
        <v>32040</v>
      </c>
      <c r="T20">
        <v>34440</v>
      </c>
      <c r="U20">
        <v>36780</v>
      </c>
      <c r="V20">
        <v>39180</v>
      </c>
      <c r="W20" t="s">
        <v>156</v>
      </c>
      <c r="X20">
        <v>18900</v>
      </c>
      <c r="Y20">
        <v>21600</v>
      </c>
      <c r="Z20">
        <v>24300</v>
      </c>
      <c r="AA20">
        <v>26950</v>
      </c>
      <c r="AB20">
        <v>29150</v>
      </c>
      <c r="AC20">
        <v>31300</v>
      </c>
      <c r="AD20">
        <v>33450</v>
      </c>
      <c r="AE20">
        <v>35600</v>
      </c>
      <c r="AF20">
        <v>22680</v>
      </c>
      <c r="AG20">
        <v>25920</v>
      </c>
      <c r="AH20">
        <v>29160</v>
      </c>
      <c r="AI20">
        <v>32340</v>
      </c>
      <c r="AJ20">
        <v>34980</v>
      </c>
      <c r="AK20">
        <v>37560</v>
      </c>
      <c r="AL20">
        <v>40140</v>
      </c>
      <c r="AM20">
        <v>42720</v>
      </c>
      <c r="AN20" t="s">
        <v>194</v>
      </c>
      <c r="AO20" t="s">
        <v>194</v>
      </c>
      <c r="AP20" t="s">
        <v>158</v>
      </c>
      <c r="AQ20">
        <v>1</v>
      </c>
      <c r="AR20" t="s">
        <v>56</v>
      </c>
      <c r="AS20" t="s">
        <v>35</v>
      </c>
      <c r="AT20">
        <v>27</v>
      </c>
      <c r="AU20" t="s">
        <v>56</v>
      </c>
    </row>
    <row r="21" spans="2:47" x14ac:dyDescent="0.2">
      <c r="B21" t="str">
        <f t="shared" si="0"/>
        <v>Camden County</v>
      </c>
      <c r="C21">
        <v>37</v>
      </c>
      <c r="D21" t="s">
        <v>195</v>
      </c>
      <c r="E21" t="s">
        <v>196</v>
      </c>
      <c r="F21">
        <v>78000</v>
      </c>
      <c r="G21">
        <v>23950</v>
      </c>
      <c r="H21">
        <v>27400</v>
      </c>
      <c r="I21">
        <v>30800</v>
      </c>
      <c r="J21">
        <v>34200</v>
      </c>
      <c r="K21">
        <v>36950</v>
      </c>
      <c r="L21">
        <v>39700</v>
      </c>
      <c r="M21">
        <v>42450</v>
      </c>
      <c r="N21">
        <v>45150</v>
      </c>
      <c r="O21">
        <v>28740</v>
      </c>
      <c r="P21">
        <v>32880</v>
      </c>
      <c r="Q21">
        <v>36960</v>
      </c>
      <c r="R21">
        <v>41040</v>
      </c>
      <c r="S21">
        <v>44340</v>
      </c>
      <c r="T21">
        <v>47640</v>
      </c>
      <c r="U21">
        <v>50940</v>
      </c>
      <c r="V21">
        <v>54180</v>
      </c>
      <c r="W21" t="s">
        <v>156</v>
      </c>
      <c r="X21">
        <v>27650</v>
      </c>
      <c r="Y21">
        <v>31600</v>
      </c>
      <c r="Z21">
        <v>35550</v>
      </c>
      <c r="AA21">
        <v>39500</v>
      </c>
      <c r="AB21">
        <v>42700</v>
      </c>
      <c r="AC21">
        <v>45850</v>
      </c>
      <c r="AD21">
        <v>49000</v>
      </c>
      <c r="AE21">
        <v>52150</v>
      </c>
      <c r="AF21">
        <v>33180</v>
      </c>
      <c r="AG21">
        <v>37920</v>
      </c>
      <c r="AH21">
        <v>42660</v>
      </c>
      <c r="AI21">
        <v>47400</v>
      </c>
      <c r="AJ21">
        <v>51240</v>
      </c>
      <c r="AK21">
        <v>55020</v>
      </c>
      <c r="AL21">
        <v>58800</v>
      </c>
      <c r="AM21">
        <v>62580</v>
      </c>
      <c r="AN21" t="s">
        <v>197</v>
      </c>
      <c r="AO21" t="s">
        <v>197</v>
      </c>
      <c r="AP21" t="s">
        <v>158</v>
      </c>
      <c r="AQ21">
        <v>0</v>
      </c>
      <c r="AR21" t="s">
        <v>57</v>
      </c>
      <c r="AS21" t="s">
        <v>35</v>
      </c>
      <c r="AT21">
        <v>29</v>
      </c>
      <c r="AU21" t="s">
        <v>57</v>
      </c>
    </row>
    <row r="22" spans="2:47" x14ac:dyDescent="0.2">
      <c r="B22" t="str">
        <f t="shared" si="0"/>
        <v>Carteret County</v>
      </c>
      <c r="C22">
        <v>37</v>
      </c>
      <c r="D22" t="s">
        <v>198</v>
      </c>
      <c r="E22" t="s">
        <v>199</v>
      </c>
      <c r="F22">
        <v>58200</v>
      </c>
      <c r="G22">
        <v>20400</v>
      </c>
      <c r="H22">
        <v>23300</v>
      </c>
      <c r="I22">
        <v>26200</v>
      </c>
      <c r="J22">
        <v>29100</v>
      </c>
      <c r="K22">
        <v>31450</v>
      </c>
      <c r="L22">
        <v>33800</v>
      </c>
      <c r="M22">
        <v>36100</v>
      </c>
      <c r="N22">
        <v>38450</v>
      </c>
      <c r="O22">
        <v>24480</v>
      </c>
      <c r="P22">
        <v>27960</v>
      </c>
      <c r="Q22">
        <v>31440</v>
      </c>
      <c r="R22">
        <v>34920</v>
      </c>
      <c r="S22">
        <v>37740</v>
      </c>
      <c r="T22">
        <v>40560</v>
      </c>
      <c r="U22">
        <v>43320</v>
      </c>
      <c r="V22">
        <v>46140</v>
      </c>
      <c r="W22" t="s">
        <v>156</v>
      </c>
      <c r="X22">
        <v>21250</v>
      </c>
      <c r="Y22">
        <v>24250</v>
      </c>
      <c r="Z22">
        <v>27300</v>
      </c>
      <c r="AA22">
        <v>30300</v>
      </c>
      <c r="AB22">
        <v>32750</v>
      </c>
      <c r="AC22">
        <v>35150</v>
      </c>
      <c r="AD22">
        <v>37600</v>
      </c>
      <c r="AE22">
        <v>40000</v>
      </c>
      <c r="AF22">
        <v>25500</v>
      </c>
      <c r="AG22">
        <v>29100</v>
      </c>
      <c r="AH22">
        <v>32760</v>
      </c>
      <c r="AI22">
        <v>36360</v>
      </c>
      <c r="AJ22">
        <v>39300</v>
      </c>
      <c r="AK22">
        <v>42180</v>
      </c>
      <c r="AL22">
        <v>45120</v>
      </c>
      <c r="AM22">
        <v>48000</v>
      </c>
      <c r="AN22" t="s">
        <v>200</v>
      </c>
      <c r="AO22" t="s">
        <v>200</v>
      </c>
      <c r="AP22" t="s">
        <v>158</v>
      </c>
      <c r="AQ22">
        <v>0</v>
      </c>
      <c r="AR22" t="s">
        <v>58</v>
      </c>
      <c r="AS22" t="s">
        <v>35</v>
      </c>
      <c r="AT22">
        <v>31</v>
      </c>
      <c r="AU22" t="s">
        <v>58</v>
      </c>
    </row>
    <row r="23" spans="2:47" x14ac:dyDescent="0.25">
      <c r="B23" t="str">
        <f t="shared" si="0"/>
        <v>Caswell County</v>
      </c>
      <c r="C23">
        <v>37</v>
      </c>
      <c r="D23" t="s">
        <v>201</v>
      </c>
      <c r="E23" t="s">
        <v>202</v>
      </c>
      <c r="F23">
        <v>48300</v>
      </c>
      <c r="G23">
        <v>17300</v>
      </c>
      <c r="H23">
        <v>19800</v>
      </c>
      <c r="I23">
        <v>22250</v>
      </c>
      <c r="J23">
        <v>24700</v>
      </c>
      <c r="K23">
        <v>26700</v>
      </c>
      <c r="L23">
        <v>28700</v>
      </c>
      <c r="M23">
        <v>30650</v>
      </c>
      <c r="N23">
        <v>32650</v>
      </c>
      <c r="O23">
        <v>20760</v>
      </c>
      <c r="P23">
        <v>23760</v>
      </c>
      <c r="Q23">
        <v>26700</v>
      </c>
      <c r="R23">
        <v>29640</v>
      </c>
      <c r="S23">
        <v>32040</v>
      </c>
      <c r="T23">
        <v>34440</v>
      </c>
      <c r="U23">
        <v>36780</v>
      </c>
      <c r="V23">
        <v>39180</v>
      </c>
      <c r="W23" t="s">
        <v>156</v>
      </c>
      <c r="X23">
        <v>18250</v>
      </c>
      <c r="Y23">
        <v>20850</v>
      </c>
      <c r="Z23">
        <v>23450</v>
      </c>
      <c r="AA23">
        <v>26050</v>
      </c>
      <c r="AB23">
        <v>28150</v>
      </c>
      <c r="AC23">
        <v>30250</v>
      </c>
      <c r="AD23">
        <v>32350</v>
      </c>
      <c r="AE23">
        <v>34400</v>
      </c>
      <c r="AF23">
        <v>21900</v>
      </c>
      <c r="AG23">
        <v>25020</v>
      </c>
      <c r="AH23">
        <v>28140</v>
      </c>
      <c r="AI23">
        <v>31260</v>
      </c>
      <c r="AJ23">
        <v>33780</v>
      </c>
      <c r="AK23">
        <v>36300</v>
      </c>
      <c r="AL23">
        <v>38820</v>
      </c>
      <c r="AM23">
        <v>41280</v>
      </c>
      <c r="AN23" t="s">
        <v>203</v>
      </c>
      <c r="AO23" t="s">
        <v>203</v>
      </c>
      <c r="AP23" t="s">
        <v>158</v>
      </c>
      <c r="AQ23">
        <v>0</v>
      </c>
      <c r="AR23" t="s">
        <v>59</v>
      </c>
      <c r="AS23" t="s">
        <v>35</v>
      </c>
      <c r="AT23">
        <v>33</v>
      </c>
      <c r="AU23" t="s">
        <v>59</v>
      </c>
    </row>
    <row r="24" spans="2:47" x14ac:dyDescent="0.25">
      <c r="B24" t="str">
        <f t="shared" si="0"/>
        <v>Catawba County</v>
      </c>
      <c r="C24">
        <v>37</v>
      </c>
      <c r="D24" t="s">
        <v>159</v>
      </c>
      <c r="E24" t="s">
        <v>160</v>
      </c>
      <c r="F24">
        <v>48800</v>
      </c>
      <c r="G24">
        <v>17300</v>
      </c>
      <c r="H24">
        <v>19800</v>
      </c>
      <c r="I24">
        <v>22250</v>
      </c>
      <c r="J24">
        <v>24700</v>
      </c>
      <c r="K24">
        <v>26700</v>
      </c>
      <c r="L24">
        <v>28700</v>
      </c>
      <c r="M24">
        <v>30650</v>
      </c>
      <c r="N24">
        <v>32650</v>
      </c>
      <c r="O24">
        <v>20760</v>
      </c>
      <c r="P24">
        <v>23760</v>
      </c>
      <c r="Q24">
        <v>26700</v>
      </c>
      <c r="R24">
        <v>29640</v>
      </c>
      <c r="S24">
        <v>32040</v>
      </c>
      <c r="T24">
        <v>34440</v>
      </c>
      <c r="U24">
        <v>36780</v>
      </c>
      <c r="V24">
        <v>39180</v>
      </c>
      <c r="W24" t="s">
        <v>156</v>
      </c>
      <c r="X24">
        <v>18900</v>
      </c>
      <c r="Y24">
        <v>21600</v>
      </c>
      <c r="Z24">
        <v>24300</v>
      </c>
      <c r="AA24">
        <v>26950</v>
      </c>
      <c r="AB24">
        <v>29150</v>
      </c>
      <c r="AC24">
        <v>31300</v>
      </c>
      <c r="AD24">
        <v>33450</v>
      </c>
      <c r="AE24">
        <v>35600</v>
      </c>
      <c r="AF24">
        <v>22680</v>
      </c>
      <c r="AG24">
        <v>25920</v>
      </c>
      <c r="AH24">
        <v>29160</v>
      </c>
      <c r="AI24">
        <v>32340</v>
      </c>
      <c r="AJ24">
        <v>34980</v>
      </c>
      <c r="AK24">
        <v>37560</v>
      </c>
      <c r="AL24">
        <v>40140</v>
      </c>
      <c r="AM24">
        <v>42720</v>
      </c>
      <c r="AN24" t="s">
        <v>204</v>
      </c>
      <c r="AO24" t="s">
        <v>204</v>
      </c>
      <c r="AP24" t="s">
        <v>158</v>
      </c>
      <c r="AQ24">
        <v>1</v>
      </c>
      <c r="AR24" t="s">
        <v>60</v>
      </c>
      <c r="AS24" t="s">
        <v>35</v>
      </c>
      <c r="AT24">
        <v>35</v>
      </c>
      <c r="AU24" t="s">
        <v>60</v>
      </c>
    </row>
    <row r="25" spans="2:47" x14ac:dyDescent="0.25">
      <c r="B25" t="str">
        <f t="shared" si="0"/>
        <v>Chatham County</v>
      </c>
      <c r="C25">
        <v>37</v>
      </c>
      <c r="D25" t="s">
        <v>205</v>
      </c>
      <c r="E25" t="s">
        <v>206</v>
      </c>
      <c r="F25">
        <v>65700</v>
      </c>
      <c r="G25">
        <v>23000</v>
      </c>
      <c r="H25">
        <v>26300</v>
      </c>
      <c r="I25">
        <v>29600</v>
      </c>
      <c r="J25">
        <v>32850</v>
      </c>
      <c r="K25">
        <v>35500</v>
      </c>
      <c r="L25">
        <v>38150</v>
      </c>
      <c r="M25">
        <v>40750</v>
      </c>
      <c r="N25">
        <v>43400</v>
      </c>
      <c r="O25">
        <v>27600</v>
      </c>
      <c r="P25">
        <v>31560</v>
      </c>
      <c r="Q25">
        <v>35520</v>
      </c>
      <c r="R25">
        <v>39420</v>
      </c>
      <c r="S25">
        <v>42600</v>
      </c>
      <c r="T25">
        <v>45780</v>
      </c>
      <c r="U25">
        <v>48900</v>
      </c>
      <c r="V25">
        <v>52080</v>
      </c>
      <c r="W25" t="s">
        <v>156</v>
      </c>
      <c r="X25">
        <v>27650</v>
      </c>
      <c r="Y25">
        <v>31600</v>
      </c>
      <c r="Z25">
        <v>35550</v>
      </c>
      <c r="AA25">
        <v>39450</v>
      </c>
      <c r="AB25">
        <v>42650</v>
      </c>
      <c r="AC25">
        <v>45800</v>
      </c>
      <c r="AD25">
        <v>48950</v>
      </c>
      <c r="AE25">
        <v>52100</v>
      </c>
      <c r="AF25">
        <v>33180</v>
      </c>
      <c r="AG25">
        <v>37920</v>
      </c>
      <c r="AH25">
        <v>42660</v>
      </c>
      <c r="AI25">
        <v>47340</v>
      </c>
      <c r="AJ25">
        <v>51180</v>
      </c>
      <c r="AK25">
        <v>54960</v>
      </c>
      <c r="AL25">
        <v>58740</v>
      </c>
      <c r="AM25">
        <v>62520</v>
      </c>
      <c r="AN25" t="s">
        <v>207</v>
      </c>
      <c r="AO25" t="s">
        <v>207</v>
      </c>
      <c r="AP25" t="s">
        <v>158</v>
      </c>
      <c r="AQ25">
        <v>1</v>
      </c>
      <c r="AR25" t="s">
        <v>61</v>
      </c>
      <c r="AS25" t="s">
        <v>35</v>
      </c>
      <c r="AT25">
        <v>37</v>
      </c>
      <c r="AU25" t="s">
        <v>61</v>
      </c>
    </row>
    <row r="26" spans="2:47" x14ac:dyDescent="0.25">
      <c r="B26" t="str">
        <f t="shared" si="0"/>
        <v>Cherokee County</v>
      </c>
      <c r="C26">
        <v>37</v>
      </c>
      <c r="D26" t="s">
        <v>208</v>
      </c>
      <c r="E26" t="s">
        <v>209</v>
      </c>
      <c r="F26">
        <v>46700</v>
      </c>
      <c r="G26">
        <v>17300</v>
      </c>
      <c r="H26">
        <v>19800</v>
      </c>
      <c r="I26">
        <v>22250</v>
      </c>
      <c r="J26">
        <v>24700</v>
      </c>
      <c r="K26">
        <v>26700</v>
      </c>
      <c r="L26">
        <v>28700</v>
      </c>
      <c r="M26">
        <v>30650</v>
      </c>
      <c r="N26">
        <v>32650</v>
      </c>
      <c r="O26">
        <v>20760</v>
      </c>
      <c r="P26">
        <v>23760</v>
      </c>
      <c r="Q26">
        <v>26700</v>
      </c>
      <c r="R26">
        <v>29640</v>
      </c>
      <c r="S26">
        <v>32040</v>
      </c>
      <c r="T26">
        <v>34440</v>
      </c>
      <c r="U26">
        <v>36780</v>
      </c>
      <c r="V26">
        <v>39180</v>
      </c>
      <c r="W26" t="s">
        <v>156</v>
      </c>
      <c r="X26">
        <v>20250</v>
      </c>
      <c r="Y26">
        <v>23150</v>
      </c>
      <c r="Z26">
        <v>26050</v>
      </c>
      <c r="AA26">
        <v>28900</v>
      </c>
      <c r="AB26">
        <v>31250</v>
      </c>
      <c r="AC26">
        <v>33550</v>
      </c>
      <c r="AD26">
        <v>35850</v>
      </c>
      <c r="AE26">
        <v>38150</v>
      </c>
      <c r="AF26">
        <v>24300</v>
      </c>
      <c r="AG26">
        <v>27780</v>
      </c>
      <c r="AH26">
        <v>31260</v>
      </c>
      <c r="AI26">
        <v>34680</v>
      </c>
      <c r="AJ26">
        <v>37500</v>
      </c>
      <c r="AK26">
        <v>40260</v>
      </c>
      <c r="AL26">
        <v>43020</v>
      </c>
      <c r="AM26">
        <v>45780</v>
      </c>
      <c r="AN26" t="s">
        <v>210</v>
      </c>
      <c r="AO26" t="s">
        <v>210</v>
      </c>
      <c r="AP26" t="s">
        <v>158</v>
      </c>
      <c r="AQ26">
        <v>0</v>
      </c>
      <c r="AR26" t="s">
        <v>62</v>
      </c>
      <c r="AS26" t="s">
        <v>35</v>
      </c>
      <c r="AT26">
        <v>39</v>
      </c>
      <c r="AU26" t="s">
        <v>62</v>
      </c>
    </row>
    <row r="27" spans="2:47" x14ac:dyDescent="0.25">
      <c r="B27" t="str">
        <f t="shared" si="0"/>
        <v>Chowan County</v>
      </c>
      <c r="C27">
        <v>37</v>
      </c>
      <c r="D27" t="s">
        <v>211</v>
      </c>
      <c r="E27" t="s">
        <v>212</v>
      </c>
      <c r="F27">
        <v>44800</v>
      </c>
      <c r="G27">
        <v>17300</v>
      </c>
      <c r="H27">
        <v>19800</v>
      </c>
      <c r="I27">
        <v>22250</v>
      </c>
      <c r="J27">
        <v>24700</v>
      </c>
      <c r="K27">
        <v>26700</v>
      </c>
      <c r="L27">
        <v>28700</v>
      </c>
      <c r="M27">
        <v>30650</v>
      </c>
      <c r="N27">
        <v>32650</v>
      </c>
      <c r="O27">
        <v>20760</v>
      </c>
      <c r="P27">
        <v>23760</v>
      </c>
      <c r="Q27">
        <v>26700</v>
      </c>
      <c r="R27">
        <v>29640</v>
      </c>
      <c r="S27">
        <v>32040</v>
      </c>
      <c r="T27">
        <v>34440</v>
      </c>
      <c r="U27">
        <v>36780</v>
      </c>
      <c r="V27">
        <v>39180</v>
      </c>
      <c r="W27" t="s">
        <v>156</v>
      </c>
      <c r="X27">
        <v>19200</v>
      </c>
      <c r="Y27">
        <v>21950</v>
      </c>
      <c r="Z27">
        <v>24700</v>
      </c>
      <c r="AA27">
        <v>27400</v>
      </c>
      <c r="AB27">
        <v>29600</v>
      </c>
      <c r="AC27">
        <v>31800</v>
      </c>
      <c r="AD27">
        <v>34000</v>
      </c>
      <c r="AE27">
        <v>36200</v>
      </c>
      <c r="AF27">
        <v>23040</v>
      </c>
      <c r="AG27">
        <v>26340</v>
      </c>
      <c r="AH27">
        <v>29640</v>
      </c>
      <c r="AI27">
        <v>32880</v>
      </c>
      <c r="AJ27">
        <v>35520</v>
      </c>
      <c r="AK27">
        <v>38160</v>
      </c>
      <c r="AL27">
        <v>40800</v>
      </c>
      <c r="AM27">
        <v>43440</v>
      </c>
      <c r="AN27" t="s">
        <v>213</v>
      </c>
      <c r="AO27" t="s">
        <v>213</v>
      </c>
      <c r="AP27" t="s">
        <v>158</v>
      </c>
      <c r="AQ27">
        <v>0</v>
      </c>
      <c r="AR27" t="s">
        <v>63</v>
      </c>
      <c r="AS27" t="s">
        <v>35</v>
      </c>
      <c r="AT27">
        <v>41</v>
      </c>
      <c r="AU27" t="s">
        <v>63</v>
      </c>
    </row>
    <row r="28" spans="2:47" x14ac:dyDescent="0.25">
      <c r="B28" t="str">
        <f t="shared" si="0"/>
        <v>Clay County</v>
      </c>
      <c r="C28">
        <v>37</v>
      </c>
      <c r="D28" t="s">
        <v>214</v>
      </c>
      <c r="E28" t="s">
        <v>215</v>
      </c>
      <c r="F28">
        <v>44800</v>
      </c>
      <c r="G28">
        <v>17300</v>
      </c>
      <c r="H28">
        <v>19800</v>
      </c>
      <c r="I28">
        <v>22250</v>
      </c>
      <c r="J28">
        <v>24700</v>
      </c>
      <c r="K28">
        <v>26700</v>
      </c>
      <c r="L28">
        <v>28700</v>
      </c>
      <c r="M28">
        <v>30650</v>
      </c>
      <c r="N28">
        <v>32650</v>
      </c>
      <c r="O28">
        <v>20760</v>
      </c>
      <c r="P28">
        <v>23760</v>
      </c>
      <c r="Q28">
        <v>26700</v>
      </c>
      <c r="R28">
        <v>29640</v>
      </c>
      <c r="S28">
        <v>32040</v>
      </c>
      <c r="T28">
        <v>34440</v>
      </c>
      <c r="U28">
        <v>36780</v>
      </c>
      <c r="V28">
        <v>39180</v>
      </c>
      <c r="W28" t="s">
        <v>156</v>
      </c>
      <c r="X28">
        <v>17750</v>
      </c>
      <c r="Y28">
        <v>20300</v>
      </c>
      <c r="Z28">
        <v>22850</v>
      </c>
      <c r="AA28">
        <v>25350</v>
      </c>
      <c r="AB28">
        <v>27400</v>
      </c>
      <c r="AC28">
        <v>29450</v>
      </c>
      <c r="AD28">
        <v>31450</v>
      </c>
      <c r="AE28">
        <v>33500</v>
      </c>
      <c r="AF28">
        <v>21300</v>
      </c>
      <c r="AG28">
        <v>24360</v>
      </c>
      <c r="AH28">
        <v>27420</v>
      </c>
      <c r="AI28">
        <v>30420</v>
      </c>
      <c r="AJ28">
        <v>32880</v>
      </c>
      <c r="AK28">
        <v>35340</v>
      </c>
      <c r="AL28">
        <v>37740</v>
      </c>
      <c r="AM28">
        <v>40200</v>
      </c>
      <c r="AN28" t="s">
        <v>216</v>
      </c>
      <c r="AO28" t="s">
        <v>216</v>
      </c>
      <c r="AP28" t="s">
        <v>158</v>
      </c>
      <c r="AQ28">
        <v>0</v>
      </c>
      <c r="AR28" t="s">
        <v>64</v>
      </c>
      <c r="AS28" t="s">
        <v>35</v>
      </c>
      <c r="AT28">
        <v>43</v>
      </c>
      <c r="AU28" t="s">
        <v>64</v>
      </c>
    </row>
    <row r="29" spans="2:47" x14ac:dyDescent="0.25">
      <c r="B29" t="str">
        <f t="shared" si="0"/>
        <v>Cleveland County</v>
      </c>
      <c r="C29">
        <v>37</v>
      </c>
      <c r="D29" t="s">
        <v>217</v>
      </c>
      <c r="E29" t="s">
        <v>218</v>
      </c>
      <c r="F29">
        <v>48600</v>
      </c>
      <c r="G29">
        <v>17300</v>
      </c>
      <c r="H29">
        <v>19800</v>
      </c>
      <c r="I29">
        <v>22250</v>
      </c>
      <c r="J29">
        <v>24700</v>
      </c>
      <c r="K29">
        <v>26700</v>
      </c>
      <c r="L29">
        <v>28700</v>
      </c>
      <c r="M29">
        <v>30650</v>
      </c>
      <c r="N29">
        <v>32650</v>
      </c>
      <c r="O29">
        <v>20760</v>
      </c>
      <c r="P29">
        <v>23760</v>
      </c>
      <c r="Q29">
        <v>26700</v>
      </c>
      <c r="R29">
        <v>29640</v>
      </c>
      <c r="S29">
        <v>32040</v>
      </c>
      <c r="T29">
        <v>34440</v>
      </c>
      <c r="U29">
        <v>36780</v>
      </c>
      <c r="V29">
        <v>39180</v>
      </c>
      <c r="W29" t="s">
        <v>156</v>
      </c>
      <c r="X29">
        <v>17850</v>
      </c>
      <c r="Y29">
        <v>20400</v>
      </c>
      <c r="Z29">
        <v>22950</v>
      </c>
      <c r="AA29">
        <v>25450</v>
      </c>
      <c r="AB29">
        <v>27500</v>
      </c>
      <c r="AC29">
        <v>29550</v>
      </c>
      <c r="AD29">
        <v>31600</v>
      </c>
      <c r="AE29">
        <v>33600</v>
      </c>
      <c r="AF29">
        <v>21420</v>
      </c>
      <c r="AG29">
        <v>24480</v>
      </c>
      <c r="AH29">
        <v>27540</v>
      </c>
      <c r="AI29">
        <v>30540</v>
      </c>
      <c r="AJ29">
        <v>33000</v>
      </c>
      <c r="AK29">
        <v>35460</v>
      </c>
      <c r="AL29">
        <v>37920</v>
      </c>
      <c r="AM29">
        <v>40320</v>
      </c>
      <c r="AN29" t="s">
        <v>219</v>
      </c>
      <c r="AO29" t="s">
        <v>219</v>
      </c>
      <c r="AP29" t="s">
        <v>158</v>
      </c>
      <c r="AQ29">
        <v>0</v>
      </c>
      <c r="AR29" t="s">
        <v>65</v>
      </c>
      <c r="AS29" t="s">
        <v>35</v>
      </c>
      <c r="AT29">
        <v>45</v>
      </c>
      <c r="AU29" t="s">
        <v>65</v>
      </c>
    </row>
    <row r="30" spans="2:47" x14ac:dyDescent="0.25">
      <c r="B30" t="str">
        <f t="shared" si="0"/>
        <v>Columbus County</v>
      </c>
      <c r="C30">
        <v>37</v>
      </c>
      <c r="D30" t="s">
        <v>220</v>
      </c>
      <c r="E30" t="s">
        <v>221</v>
      </c>
      <c r="F30">
        <v>47600</v>
      </c>
      <c r="G30">
        <v>17300</v>
      </c>
      <c r="H30">
        <v>19800</v>
      </c>
      <c r="I30">
        <v>22250</v>
      </c>
      <c r="J30">
        <v>24700</v>
      </c>
      <c r="K30">
        <v>26700</v>
      </c>
      <c r="L30">
        <v>28700</v>
      </c>
      <c r="M30">
        <v>30650</v>
      </c>
      <c r="N30">
        <v>32650</v>
      </c>
      <c r="O30">
        <v>20760</v>
      </c>
      <c r="P30">
        <v>23760</v>
      </c>
      <c r="Q30">
        <v>26700</v>
      </c>
      <c r="R30">
        <v>29640</v>
      </c>
      <c r="S30">
        <v>32040</v>
      </c>
      <c r="T30">
        <v>34440</v>
      </c>
      <c r="U30">
        <v>36780</v>
      </c>
      <c r="V30">
        <v>39180</v>
      </c>
      <c r="W30" t="s">
        <v>156</v>
      </c>
      <c r="X30">
        <v>20300</v>
      </c>
      <c r="Y30">
        <v>23200</v>
      </c>
      <c r="Z30">
        <v>26100</v>
      </c>
      <c r="AA30">
        <v>29000</v>
      </c>
      <c r="AB30">
        <v>31350</v>
      </c>
      <c r="AC30">
        <v>33650</v>
      </c>
      <c r="AD30">
        <v>36000</v>
      </c>
      <c r="AE30">
        <v>38300</v>
      </c>
      <c r="AF30">
        <v>24360</v>
      </c>
      <c r="AG30">
        <v>27840</v>
      </c>
      <c r="AH30">
        <v>31320</v>
      </c>
      <c r="AI30">
        <v>34800</v>
      </c>
      <c r="AJ30">
        <v>37620</v>
      </c>
      <c r="AK30">
        <v>40380</v>
      </c>
      <c r="AL30">
        <v>43200</v>
      </c>
      <c r="AM30">
        <v>45960</v>
      </c>
      <c r="AN30" t="s">
        <v>222</v>
      </c>
      <c r="AO30" t="s">
        <v>222</v>
      </c>
      <c r="AP30" t="s">
        <v>158</v>
      </c>
      <c r="AQ30">
        <v>0</v>
      </c>
      <c r="AR30" t="s">
        <v>66</v>
      </c>
      <c r="AS30" t="s">
        <v>35</v>
      </c>
      <c r="AT30">
        <v>47</v>
      </c>
      <c r="AU30" t="s">
        <v>66</v>
      </c>
    </row>
    <row r="31" spans="2:47" x14ac:dyDescent="0.25">
      <c r="B31" t="str">
        <f t="shared" si="0"/>
        <v>Craven County</v>
      </c>
      <c r="C31">
        <v>37</v>
      </c>
      <c r="D31" t="s">
        <v>223</v>
      </c>
      <c r="E31" t="s">
        <v>224</v>
      </c>
      <c r="F31">
        <v>63000</v>
      </c>
      <c r="G31">
        <v>20250</v>
      </c>
      <c r="H31">
        <v>23150</v>
      </c>
      <c r="I31">
        <v>26050</v>
      </c>
      <c r="J31">
        <v>28900</v>
      </c>
      <c r="K31">
        <v>31250</v>
      </c>
      <c r="L31">
        <v>33550</v>
      </c>
      <c r="M31">
        <v>35850</v>
      </c>
      <c r="N31">
        <v>38150</v>
      </c>
      <c r="O31">
        <v>24300</v>
      </c>
      <c r="P31">
        <v>27780</v>
      </c>
      <c r="Q31">
        <v>31260</v>
      </c>
      <c r="R31">
        <v>34680</v>
      </c>
      <c r="S31">
        <v>37500</v>
      </c>
      <c r="T31">
        <v>40260</v>
      </c>
      <c r="U31">
        <v>43020</v>
      </c>
      <c r="V31">
        <v>45780</v>
      </c>
      <c r="W31" t="s">
        <v>156</v>
      </c>
      <c r="X31">
        <v>22050</v>
      </c>
      <c r="Y31">
        <v>25200</v>
      </c>
      <c r="Z31">
        <v>28350</v>
      </c>
      <c r="AA31">
        <v>31500</v>
      </c>
      <c r="AB31">
        <v>34050</v>
      </c>
      <c r="AC31">
        <v>36550</v>
      </c>
      <c r="AD31">
        <v>39100</v>
      </c>
      <c r="AE31">
        <v>41600</v>
      </c>
      <c r="AF31">
        <v>26460</v>
      </c>
      <c r="AG31">
        <v>30240</v>
      </c>
      <c r="AH31">
        <v>34020</v>
      </c>
      <c r="AI31">
        <v>37800</v>
      </c>
      <c r="AJ31">
        <v>40860</v>
      </c>
      <c r="AK31">
        <v>43860</v>
      </c>
      <c r="AL31">
        <v>46920</v>
      </c>
      <c r="AM31">
        <v>49920</v>
      </c>
      <c r="AN31" t="s">
        <v>225</v>
      </c>
      <c r="AO31" t="s">
        <v>225</v>
      </c>
      <c r="AP31" t="s">
        <v>158</v>
      </c>
      <c r="AQ31">
        <v>0</v>
      </c>
      <c r="AR31" t="s">
        <v>67</v>
      </c>
      <c r="AS31" t="s">
        <v>35</v>
      </c>
      <c r="AT31">
        <v>49</v>
      </c>
      <c r="AU31" t="s">
        <v>67</v>
      </c>
    </row>
    <row r="32" spans="2:47" x14ac:dyDescent="0.25">
      <c r="B32" t="str">
        <f t="shared" si="0"/>
        <v>Cumberland County</v>
      </c>
      <c r="C32">
        <v>37</v>
      </c>
      <c r="D32" t="s">
        <v>226</v>
      </c>
      <c r="E32" t="s">
        <v>227</v>
      </c>
      <c r="F32">
        <v>52800</v>
      </c>
      <c r="G32">
        <v>18500</v>
      </c>
      <c r="H32">
        <v>21150</v>
      </c>
      <c r="I32">
        <v>23800</v>
      </c>
      <c r="J32">
        <v>26400</v>
      </c>
      <c r="K32">
        <v>28550</v>
      </c>
      <c r="L32">
        <v>30650</v>
      </c>
      <c r="M32">
        <v>32750</v>
      </c>
      <c r="N32">
        <v>34850</v>
      </c>
      <c r="O32">
        <v>22200</v>
      </c>
      <c r="P32">
        <v>25380</v>
      </c>
      <c r="Q32">
        <v>28560</v>
      </c>
      <c r="R32">
        <v>31680</v>
      </c>
      <c r="S32">
        <v>34260</v>
      </c>
      <c r="T32">
        <v>36780</v>
      </c>
      <c r="U32">
        <v>39300</v>
      </c>
      <c r="V32">
        <v>41820</v>
      </c>
      <c r="W32" t="s">
        <v>188</v>
      </c>
      <c r="AN32" t="s">
        <v>228</v>
      </c>
      <c r="AO32" t="s">
        <v>228</v>
      </c>
      <c r="AP32" t="s">
        <v>158</v>
      </c>
      <c r="AQ32">
        <v>1</v>
      </c>
      <c r="AR32" t="s">
        <v>68</v>
      </c>
      <c r="AS32" t="s">
        <v>35</v>
      </c>
      <c r="AT32">
        <v>51</v>
      </c>
      <c r="AU32" t="s">
        <v>68</v>
      </c>
    </row>
    <row r="33" spans="2:47" x14ac:dyDescent="0.25">
      <c r="B33" t="str">
        <f t="shared" si="0"/>
        <v>Currituck County</v>
      </c>
      <c r="C33">
        <v>37</v>
      </c>
      <c r="D33" t="s">
        <v>229</v>
      </c>
      <c r="E33" t="s">
        <v>230</v>
      </c>
      <c r="F33">
        <v>70600</v>
      </c>
      <c r="G33">
        <v>24750</v>
      </c>
      <c r="H33">
        <v>28250</v>
      </c>
      <c r="I33">
        <v>31800</v>
      </c>
      <c r="J33">
        <v>35300</v>
      </c>
      <c r="K33">
        <v>38150</v>
      </c>
      <c r="L33">
        <v>40950</v>
      </c>
      <c r="M33">
        <v>43800</v>
      </c>
      <c r="N33">
        <v>46600</v>
      </c>
      <c r="O33">
        <v>29700</v>
      </c>
      <c r="P33">
        <v>33900</v>
      </c>
      <c r="Q33">
        <v>38160</v>
      </c>
      <c r="R33">
        <v>42360</v>
      </c>
      <c r="S33">
        <v>45780</v>
      </c>
      <c r="T33">
        <v>49140</v>
      </c>
      <c r="U33">
        <v>52560</v>
      </c>
      <c r="V33">
        <v>55920</v>
      </c>
      <c r="W33" t="s">
        <v>188</v>
      </c>
      <c r="AN33" t="s">
        <v>231</v>
      </c>
      <c r="AO33" t="s">
        <v>231</v>
      </c>
      <c r="AP33" t="s">
        <v>158</v>
      </c>
      <c r="AQ33">
        <v>1</v>
      </c>
      <c r="AR33" t="s">
        <v>69</v>
      </c>
      <c r="AS33" t="s">
        <v>35</v>
      </c>
      <c r="AT33">
        <v>53</v>
      </c>
      <c r="AU33" t="s">
        <v>69</v>
      </c>
    </row>
    <row r="34" spans="2:47" x14ac:dyDescent="0.25">
      <c r="B34" t="str">
        <f t="shared" si="0"/>
        <v>Dare County</v>
      </c>
      <c r="C34">
        <v>37</v>
      </c>
      <c r="D34" t="s">
        <v>232</v>
      </c>
      <c r="E34" t="s">
        <v>233</v>
      </c>
      <c r="F34">
        <v>69300</v>
      </c>
      <c r="G34">
        <v>24300</v>
      </c>
      <c r="H34">
        <v>27750</v>
      </c>
      <c r="I34">
        <v>31200</v>
      </c>
      <c r="J34">
        <v>34650</v>
      </c>
      <c r="K34">
        <v>37450</v>
      </c>
      <c r="L34">
        <v>40200</v>
      </c>
      <c r="M34">
        <v>43000</v>
      </c>
      <c r="N34">
        <v>45750</v>
      </c>
      <c r="O34">
        <v>29160</v>
      </c>
      <c r="P34">
        <v>33300</v>
      </c>
      <c r="Q34">
        <v>37440</v>
      </c>
      <c r="R34">
        <v>41580</v>
      </c>
      <c r="S34">
        <v>44940</v>
      </c>
      <c r="T34">
        <v>48240</v>
      </c>
      <c r="U34">
        <v>51600</v>
      </c>
      <c r="V34">
        <v>54900</v>
      </c>
      <c r="W34" t="s">
        <v>156</v>
      </c>
      <c r="X34">
        <v>24750</v>
      </c>
      <c r="Y34">
        <v>28250</v>
      </c>
      <c r="Z34">
        <v>31800</v>
      </c>
      <c r="AA34">
        <v>35300</v>
      </c>
      <c r="AB34">
        <v>38150</v>
      </c>
      <c r="AC34">
        <v>40950</v>
      </c>
      <c r="AD34">
        <v>43800</v>
      </c>
      <c r="AE34">
        <v>46600</v>
      </c>
      <c r="AF34">
        <v>29700</v>
      </c>
      <c r="AG34">
        <v>33900</v>
      </c>
      <c r="AH34">
        <v>38160</v>
      </c>
      <c r="AI34">
        <v>42360</v>
      </c>
      <c r="AJ34">
        <v>45780</v>
      </c>
      <c r="AK34">
        <v>49140</v>
      </c>
      <c r="AL34">
        <v>52560</v>
      </c>
      <c r="AM34">
        <v>55920</v>
      </c>
      <c r="AN34" t="s">
        <v>234</v>
      </c>
      <c r="AO34" t="s">
        <v>234</v>
      </c>
      <c r="AP34" t="s">
        <v>158</v>
      </c>
      <c r="AQ34">
        <v>0</v>
      </c>
      <c r="AR34" t="s">
        <v>70</v>
      </c>
      <c r="AS34" t="s">
        <v>35</v>
      </c>
      <c r="AT34">
        <v>55</v>
      </c>
      <c r="AU34" t="s">
        <v>70</v>
      </c>
    </row>
    <row r="35" spans="2:47" x14ac:dyDescent="0.25">
      <c r="B35" t="str">
        <f t="shared" si="0"/>
        <v>Davidson County</v>
      </c>
      <c r="C35">
        <v>37</v>
      </c>
      <c r="D35" t="s">
        <v>235</v>
      </c>
      <c r="E35" t="s">
        <v>236</v>
      </c>
      <c r="F35">
        <v>52600</v>
      </c>
      <c r="G35">
        <v>18450</v>
      </c>
      <c r="H35">
        <v>21050</v>
      </c>
      <c r="I35">
        <v>23700</v>
      </c>
      <c r="J35">
        <v>26300</v>
      </c>
      <c r="K35">
        <v>28450</v>
      </c>
      <c r="L35">
        <v>30550</v>
      </c>
      <c r="M35">
        <v>32650</v>
      </c>
      <c r="N35">
        <v>34750</v>
      </c>
      <c r="O35">
        <v>22140</v>
      </c>
      <c r="P35">
        <v>25260</v>
      </c>
      <c r="Q35">
        <v>28440</v>
      </c>
      <c r="R35">
        <v>31560</v>
      </c>
      <c r="S35">
        <v>34140</v>
      </c>
      <c r="T35">
        <v>36660</v>
      </c>
      <c r="U35">
        <v>39180</v>
      </c>
      <c r="V35">
        <v>41700</v>
      </c>
      <c r="W35" t="s">
        <v>156</v>
      </c>
      <c r="X35">
        <v>20500</v>
      </c>
      <c r="Y35">
        <v>23400</v>
      </c>
      <c r="Z35">
        <v>26350</v>
      </c>
      <c r="AA35">
        <v>29250</v>
      </c>
      <c r="AB35">
        <v>31600</v>
      </c>
      <c r="AC35">
        <v>33950</v>
      </c>
      <c r="AD35">
        <v>36300</v>
      </c>
      <c r="AE35">
        <v>38650</v>
      </c>
      <c r="AF35">
        <v>24600</v>
      </c>
      <c r="AG35">
        <v>28080</v>
      </c>
      <c r="AH35">
        <v>31620</v>
      </c>
      <c r="AI35">
        <v>35100</v>
      </c>
      <c r="AJ35">
        <v>37920</v>
      </c>
      <c r="AK35">
        <v>40740</v>
      </c>
      <c r="AL35">
        <v>43560</v>
      </c>
      <c r="AM35">
        <v>46380</v>
      </c>
      <c r="AN35" t="s">
        <v>237</v>
      </c>
      <c r="AO35" t="s">
        <v>237</v>
      </c>
      <c r="AP35" t="s">
        <v>158</v>
      </c>
      <c r="AQ35">
        <v>0</v>
      </c>
      <c r="AR35" t="s">
        <v>71</v>
      </c>
      <c r="AS35" t="s">
        <v>35</v>
      </c>
      <c r="AT35">
        <v>57</v>
      </c>
      <c r="AU35" t="s">
        <v>71</v>
      </c>
    </row>
    <row r="36" spans="2:47" x14ac:dyDescent="0.25">
      <c r="B36" t="str">
        <f t="shared" si="0"/>
        <v>Davie County</v>
      </c>
      <c r="C36">
        <v>37</v>
      </c>
      <c r="D36" t="s">
        <v>238</v>
      </c>
      <c r="E36" t="s">
        <v>239</v>
      </c>
      <c r="F36">
        <v>56000</v>
      </c>
      <c r="G36">
        <v>19850</v>
      </c>
      <c r="H36">
        <v>22650</v>
      </c>
      <c r="I36">
        <v>25500</v>
      </c>
      <c r="J36">
        <v>28300</v>
      </c>
      <c r="K36">
        <v>30600</v>
      </c>
      <c r="L36">
        <v>32850</v>
      </c>
      <c r="M36">
        <v>35100</v>
      </c>
      <c r="N36">
        <v>37400</v>
      </c>
      <c r="O36">
        <v>23820</v>
      </c>
      <c r="P36">
        <v>27180</v>
      </c>
      <c r="Q36">
        <v>30600</v>
      </c>
      <c r="R36">
        <v>33960</v>
      </c>
      <c r="S36">
        <v>36720</v>
      </c>
      <c r="T36">
        <v>39420</v>
      </c>
      <c r="U36">
        <v>42120</v>
      </c>
      <c r="V36">
        <v>44880</v>
      </c>
      <c r="W36" t="s">
        <v>156</v>
      </c>
      <c r="X36">
        <v>22050</v>
      </c>
      <c r="Y36">
        <v>25200</v>
      </c>
      <c r="Z36">
        <v>28350</v>
      </c>
      <c r="AA36">
        <v>31500</v>
      </c>
      <c r="AB36">
        <v>34050</v>
      </c>
      <c r="AC36">
        <v>36550</v>
      </c>
      <c r="AD36">
        <v>39100</v>
      </c>
      <c r="AE36">
        <v>41600</v>
      </c>
      <c r="AF36">
        <v>26460</v>
      </c>
      <c r="AG36">
        <v>30240</v>
      </c>
      <c r="AH36">
        <v>34020</v>
      </c>
      <c r="AI36">
        <v>37800</v>
      </c>
      <c r="AJ36">
        <v>40860</v>
      </c>
      <c r="AK36">
        <v>43860</v>
      </c>
      <c r="AL36">
        <v>46920</v>
      </c>
      <c r="AM36">
        <v>49920</v>
      </c>
      <c r="AN36" t="s">
        <v>240</v>
      </c>
      <c r="AO36" t="s">
        <v>240</v>
      </c>
      <c r="AP36" t="s">
        <v>158</v>
      </c>
      <c r="AQ36">
        <v>1</v>
      </c>
      <c r="AR36" t="s">
        <v>72</v>
      </c>
      <c r="AS36" t="s">
        <v>35</v>
      </c>
      <c r="AT36">
        <v>59</v>
      </c>
      <c r="AU36" t="s">
        <v>72</v>
      </c>
    </row>
    <row r="37" spans="2:47" x14ac:dyDescent="0.25">
      <c r="B37" t="str">
        <f t="shared" si="0"/>
        <v>Duplin County</v>
      </c>
      <c r="C37">
        <v>37</v>
      </c>
      <c r="D37" t="s">
        <v>241</v>
      </c>
      <c r="E37" t="s">
        <v>242</v>
      </c>
      <c r="F37">
        <v>43200</v>
      </c>
      <c r="G37">
        <v>17300</v>
      </c>
      <c r="H37">
        <v>19800</v>
      </c>
      <c r="I37">
        <v>22250</v>
      </c>
      <c r="J37">
        <v>24700</v>
      </c>
      <c r="K37">
        <v>26700</v>
      </c>
      <c r="L37">
        <v>28700</v>
      </c>
      <c r="M37">
        <v>30650</v>
      </c>
      <c r="N37">
        <v>32650</v>
      </c>
      <c r="O37">
        <v>20760</v>
      </c>
      <c r="P37">
        <v>23760</v>
      </c>
      <c r="Q37">
        <v>26700</v>
      </c>
      <c r="R37">
        <v>29640</v>
      </c>
      <c r="S37">
        <v>32040</v>
      </c>
      <c r="T37">
        <v>34440</v>
      </c>
      <c r="U37">
        <v>36780</v>
      </c>
      <c r="V37">
        <v>39180</v>
      </c>
      <c r="W37" t="s">
        <v>156</v>
      </c>
      <c r="X37">
        <v>18200</v>
      </c>
      <c r="Y37">
        <v>20800</v>
      </c>
      <c r="Z37">
        <v>23400</v>
      </c>
      <c r="AA37">
        <v>25950</v>
      </c>
      <c r="AB37">
        <v>28050</v>
      </c>
      <c r="AC37">
        <v>30150</v>
      </c>
      <c r="AD37">
        <v>32200</v>
      </c>
      <c r="AE37">
        <v>34300</v>
      </c>
      <c r="AF37">
        <v>21840</v>
      </c>
      <c r="AG37">
        <v>24960</v>
      </c>
      <c r="AH37">
        <v>28080</v>
      </c>
      <c r="AI37">
        <v>31140</v>
      </c>
      <c r="AJ37">
        <v>33660</v>
      </c>
      <c r="AK37">
        <v>36180</v>
      </c>
      <c r="AL37">
        <v>38640</v>
      </c>
      <c r="AM37">
        <v>41160</v>
      </c>
      <c r="AN37" t="s">
        <v>243</v>
      </c>
      <c r="AO37" t="s">
        <v>243</v>
      </c>
      <c r="AP37" t="s">
        <v>158</v>
      </c>
      <c r="AQ37">
        <v>0</v>
      </c>
      <c r="AR37" t="s">
        <v>73</v>
      </c>
      <c r="AS37" t="s">
        <v>35</v>
      </c>
      <c r="AT37">
        <v>61</v>
      </c>
      <c r="AU37" t="s">
        <v>73</v>
      </c>
    </row>
    <row r="38" spans="2:47" x14ac:dyDescent="0.25">
      <c r="B38" t="str">
        <f t="shared" si="0"/>
        <v>Durham County</v>
      </c>
      <c r="C38">
        <v>37</v>
      </c>
      <c r="D38" t="s">
        <v>205</v>
      </c>
      <c r="E38" t="s">
        <v>206</v>
      </c>
      <c r="F38">
        <v>65700</v>
      </c>
      <c r="G38">
        <v>23000</v>
      </c>
      <c r="H38">
        <v>26300</v>
      </c>
      <c r="I38">
        <v>29600</v>
      </c>
      <c r="J38">
        <v>32850</v>
      </c>
      <c r="K38">
        <v>35500</v>
      </c>
      <c r="L38">
        <v>38150</v>
      </c>
      <c r="M38">
        <v>40750</v>
      </c>
      <c r="N38">
        <v>43400</v>
      </c>
      <c r="O38">
        <v>27600</v>
      </c>
      <c r="P38">
        <v>31560</v>
      </c>
      <c r="Q38">
        <v>35520</v>
      </c>
      <c r="R38">
        <v>39420</v>
      </c>
      <c r="S38">
        <v>42600</v>
      </c>
      <c r="T38">
        <v>45780</v>
      </c>
      <c r="U38">
        <v>48900</v>
      </c>
      <c r="V38">
        <v>52080</v>
      </c>
      <c r="W38" t="s">
        <v>156</v>
      </c>
      <c r="X38">
        <v>27650</v>
      </c>
      <c r="Y38">
        <v>31600</v>
      </c>
      <c r="Z38">
        <v>35550</v>
      </c>
      <c r="AA38">
        <v>39450</v>
      </c>
      <c r="AB38">
        <v>42650</v>
      </c>
      <c r="AC38">
        <v>45800</v>
      </c>
      <c r="AD38">
        <v>48950</v>
      </c>
      <c r="AE38">
        <v>52100</v>
      </c>
      <c r="AF38">
        <v>33180</v>
      </c>
      <c r="AG38">
        <v>37920</v>
      </c>
      <c r="AH38">
        <v>42660</v>
      </c>
      <c r="AI38">
        <v>47340</v>
      </c>
      <c r="AJ38">
        <v>51180</v>
      </c>
      <c r="AK38">
        <v>54960</v>
      </c>
      <c r="AL38">
        <v>58740</v>
      </c>
      <c r="AM38">
        <v>62520</v>
      </c>
      <c r="AN38" t="s">
        <v>244</v>
      </c>
      <c r="AO38" t="s">
        <v>244</v>
      </c>
      <c r="AP38" t="s">
        <v>158</v>
      </c>
      <c r="AQ38">
        <v>1</v>
      </c>
      <c r="AR38" t="s">
        <v>74</v>
      </c>
      <c r="AS38" t="s">
        <v>35</v>
      </c>
      <c r="AT38">
        <v>63</v>
      </c>
      <c r="AU38" t="s">
        <v>74</v>
      </c>
    </row>
    <row r="39" spans="2:47" x14ac:dyDescent="0.25">
      <c r="B39" t="str">
        <f t="shared" si="0"/>
        <v>Edgecombe County</v>
      </c>
      <c r="C39">
        <v>37</v>
      </c>
      <c r="D39" t="s">
        <v>245</v>
      </c>
      <c r="E39" t="s">
        <v>246</v>
      </c>
      <c r="F39">
        <v>49600</v>
      </c>
      <c r="G39">
        <v>17550</v>
      </c>
      <c r="H39">
        <v>20050</v>
      </c>
      <c r="I39">
        <v>22550</v>
      </c>
      <c r="J39">
        <v>25050</v>
      </c>
      <c r="K39">
        <v>27100</v>
      </c>
      <c r="L39">
        <v>29100</v>
      </c>
      <c r="M39">
        <v>31100</v>
      </c>
      <c r="N39">
        <v>33100</v>
      </c>
      <c r="O39">
        <v>21060</v>
      </c>
      <c r="P39">
        <v>24060</v>
      </c>
      <c r="Q39">
        <v>27060</v>
      </c>
      <c r="R39">
        <v>30060</v>
      </c>
      <c r="S39">
        <v>32520</v>
      </c>
      <c r="T39">
        <v>34920</v>
      </c>
      <c r="U39">
        <v>37320</v>
      </c>
      <c r="V39">
        <v>39720</v>
      </c>
      <c r="W39" t="s">
        <v>156</v>
      </c>
      <c r="X39">
        <v>19850</v>
      </c>
      <c r="Y39">
        <v>22650</v>
      </c>
      <c r="Z39">
        <v>25500</v>
      </c>
      <c r="AA39">
        <v>28300</v>
      </c>
      <c r="AB39">
        <v>30600</v>
      </c>
      <c r="AC39">
        <v>32850</v>
      </c>
      <c r="AD39">
        <v>35100</v>
      </c>
      <c r="AE39">
        <v>37400</v>
      </c>
      <c r="AF39">
        <v>23820</v>
      </c>
      <c r="AG39">
        <v>27180</v>
      </c>
      <c r="AH39">
        <v>30600</v>
      </c>
      <c r="AI39">
        <v>33960</v>
      </c>
      <c r="AJ39">
        <v>36720</v>
      </c>
      <c r="AK39">
        <v>39420</v>
      </c>
      <c r="AL39">
        <v>42120</v>
      </c>
      <c r="AM39">
        <v>44880</v>
      </c>
      <c r="AN39" t="s">
        <v>247</v>
      </c>
      <c r="AO39" t="s">
        <v>247</v>
      </c>
      <c r="AP39" t="s">
        <v>158</v>
      </c>
      <c r="AQ39">
        <v>1</v>
      </c>
      <c r="AR39" t="s">
        <v>75</v>
      </c>
      <c r="AS39" t="s">
        <v>35</v>
      </c>
      <c r="AT39">
        <v>65</v>
      </c>
      <c r="AU39" t="s">
        <v>75</v>
      </c>
    </row>
    <row r="40" spans="2:47" x14ac:dyDescent="0.25">
      <c r="B40" t="str">
        <f t="shared" si="0"/>
        <v>Forsyth County</v>
      </c>
      <c r="C40">
        <v>37</v>
      </c>
      <c r="D40" t="s">
        <v>238</v>
      </c>
      <c r="E40" t="s">
        <v>239</v>
      </c>
      <c r="F40">
        <v>56000</v>
      </c>
      <c r="G40">
        <v>19850</v>
      </c>
      <c r="H40">
        <v>22650</v>
      </c>
      <c r="I40">
        <v>25500</v>
      </c>
      <c r="J40">
        <v>28300</v>
      </c>
      <c r="K40">
        <v>30600</v>
      </c>
      <c r="L40">
        <v>32850</v>
      </c>
      <c r="M40">
        <v>35100</v>
      </c>
      <c r="N40">
        <v>37400</v>
      </c>
      <c r="O40">
        <v>23820</v>
      </c>
      <c r="P40">
        <v>27180</v>
      </c>
      <c r="Q40">
        <v>30600</v>
      </c>
      <c r="R40">
        <v>33960</v>
      </c>
      <c r="S40">
        <v>36720</v>
      </c>
      <c r="T40">
        <v>39420</v>
      </c>
      <c r="U40">
        <v>42120</v>
      </c>
      <c r="V40">
        <v>44880</v>
      </c>
      <c r="W40" t="s">
        <v>156</v>
      </c>
      <c r="X40">
        <v>22050</v>
      </c>
      <c r="Y40">
        <v>25200</v>
      </c>
      <c r="Z40">
        <v>28350</v>
      </c>
      <c r="AA40">
        <v>31500</v>
      </c>
      <c r="AB40">
        <v>34050</v>
      </c>
      <c r="AC40">
        <v>36550</v>
      </c>
      <c r="AD40">
        <v>39100</v>
      </c>
      <c r="AE40">
        <v>41600</v>
      </c>
      <c r="AF40">
        <v>26460</v>
      </c>
      <c r="AG40">
        <v>30240</v>
      </c>
      <c r="AH40">
        <v>34020</v>
      </c>
      <c r="AI40">
        <v>37800</v>
      </c>
      <c r="AJ40">
        <v>40860</v>
      </c>
      <c r="AK40">
        <v>43860</v>
      </c>
      <c r="AL40">
        <v>46920</v>
      </c>
      <c r="AM40">
        <v>49920</v>
      </c>
      <c r="AN40" t="s">
        <v>248</v>
      </c>
      <c r="AO40" t="s">
        <v>248</v>
      </c>
      <c r="AP40" t="s">
        <v>158</v>
      </c>
      <c r="AQ40">
        <v>1</v>
      </c>
      <c r="AR40" t="s">
        <v>76</v>
      </c>
      <c r="AS40" t="s">
        <v>35</v>
      </c>
      <c r="AT40">
        <v>67</v>
      </c>
      <c r="AU40" t="s">
        <v>76</v>
      </c>
    </row>
    <row r="41" spans="2:47" x14ac:dyDescent="0.25">
      <c r="B41" t="str">
        <f t="shared" si="0"/>
        <v>Franklin County</v>
      </c>
      <c r="C41">
        <v>37</v>
      </c>
      <c r="D41" t="s">
        <v>249</v>
      </c>
      <c r="E41" t="s">
        <v>250</v>
      </c>
      <c r="F41">
        <v>75800</v>
      </c>
      <c r="G41">
        <v>26550</v>
      </c>
      <c r="H41">
        <v>30350</v>
      </c>
      <c r="I41">
        <v>34150</v>
      </c>
      <c r="J41">
        <v>37900</v>
      </c>
      <c r="K41">
        <v>40950</v>
      </c>
      <c r="L41">
        <v>44000</v>
      </c>
      <c r="M41">
        <v>47000</v>
      </c>
      <c r="N41">
        <v>50050</v>
      </c>
      <c r="O41">
        <v>31860</v>
      </c>
      <c r="P41">
        <v>36420</v>
      </c>
      <c r="Q41">
        <v>40980</v>
      </c>
      <c r="R41">
        <v>45480</v>
      </c>
      <c r="S41">
        <v>49140</v>
      </c>
      <c r="T41">
        <v>52800</v>
      </c>
      <c r="U41">
        <v>56400</v>
      </c>
      <c r="V41">
        <v>60060</v>
      </c>
      <c r="W41" t="s">
        <v>156</v>
      </c>
      <c r="X41">
        <v>28000</v>
      </c>
      <c r="Y41">
        <v>32000</v>
      </c>
      <c r="Z41">
        <v>36000</v>
      </c>
      <c r="AA41">
        <v>39950</v>
      </c>
      <c r="AB41">
        <v>43150</v>
      </c>
      <c r="AC41">
        <v>46350</v>
      </c>
      <c r="AD41">
        <v>49550</v>
      </c>
      <c r="AE41">
        <v>52750</v>
      </c>
      <c r="AF41">
        <v>33600</v>
      </c>
      <c r="AG41">
        <v>38400</v>
      </c>
      <c r="AH41">
        <v>43200</v>
      </c>
      <c r="AI41">
        <v>47940</v>
      </c>
      <c r="AJ41">
        <v>51780</v>
      </c>
      <c r="AK41">
        <v>55620</v>
      </c>
      <c r="AL41">
        <v>59460</v>
      </c>
      <c r="AM41">
        <v>63300</v>
      </c>
      <c r="AN41" t="s">
        <v>251</v>
      </c>
      <c r="AO41" t="s">
        <v>251</v>
      </c>
      <c r="AP41" t="s">
        <v>158</v>
      </c>
      <c r="AQ41">
        <v>1</v>
      </c>
      <c r="AR41" t="s">
        <v>77</v>
      </c>
      <c r="AS41" t="s">
        <v>35</v>
      </c>
      <c r="AT41">
        <v>69</v>
      </c>
      <c r="AU41" t="s">
        <v>77</v>
      </c>
    </row>
    <row r="42" spans="2:47" x14ac:dyDescent="0.25">
      <c r="B42" t="str">
        <f t="shared" si="0"/>
        <v>Gaston County</v>
      </c>
      <c r="C42">
        <v>37</v>
      </c>
      <c r="D42" t="s">
        <v>191</v>
      </c>
      <c r="E42" t="s">
        <v>192</v>
      </c>
      <c r="F42">
        <v>64200</v>
      </c>
      <c r="G42">
        <v>22500</v>
      </c>
      <c r="H42">
        <v>25700</v>
      </c>
      <c r="I42">
        <v>28900</v>
      </c>
      <c r="J42">
        <v>32100</v>
      </c>
      <c r="K42">
        <v>34700</v>
      </c>
      <c r="L42">
        <v>37250</v>
      </c>
      <c r="M42">
        <v>39850</v>
      </c>
      <c r="N42">
        <v>42400</v>
      </c>
      <c r="O42">
        <v>27000</v>
      </c>
      <c r="P42">
        <v>30840</v>
      </c>
      <c r="Q42">
        <v>34680</v>
      </c>
      <c r="R42">
        <v>38520</v>
      </c>
      <c r="S42">
        <v>41640</v>
      </c>
      <c r="T42">
        <v>44700</v>
      </c>
      <c r="U42">
        <v>47820</v>
      </c>
      <c r="V42">
        <v>50880</v>
      </c>
      <c r="W42" t="s">
        <v>156</v>
      </c>
      <c r="X42">
        <v>24050</v>
      </c>
      <c r="Y42">
        <v>27450</v>
      </c>
      <c r="Z42">
        <v>30900</v>
      </c>
      <c r="AA42">
        <v>34300</v>
      </c>
      <c r="AB42">
        <v>37050</v>
      </c>
      <c r="AC42">
        <v>39800</v>
      </c>
      <c r="AD42">
        <v>42550</v>
      </c>
      <c r="AE42">
        <v>45300</v>
      </c>
      <c r="AF42">
        <v>28860</v>
      </c>
      <c r="AG42">
        <v>32940</v>
      </c>
      <c r="AH42">
        <v>37080</v>
      </c>
      <c r="AI42">
        <v>41160</v>
      </c>
      <c r="AJ42">
        <v>44460</v>
      </c>
      <c r="AK42">
        <v>47760</v>
      </c>
      <c r="AL42">
        <v>51060</v>
      </c>
      <c r="AM42">
        <v>54360</v>
      </c>
      <c r="AN42" t="s">
        <v>252</v>
      </c>
      <c r="AO42" t="s">
        <v>252</v>
      </c>
      <c r="AP42" t="s">
        <v>158</v>
      </c>
      <c r="AQ42">
        <v>1</v>
      </c>
      <c r="AR42" t="s">
        <v>78</v>
      </c>
      <c r="AS42" t="s">
        <v>35</v>
      </c>
      <c r="AT42">
        <v>71</v>
      </c>
      <c r="AU42" t="s">
        <v>78</v>
      </c>
    </row>
    <row r="43" spans="2:47" x14ac:dyDescent="0.25">
      <c r="B43" t="str">
        <f t="shared" si="0"/>
        <v>Gates County</v>
      </c>
      <c r="C43">
        <v>37</v>
      </c>
      <c r="D43" t="s">
        <v>253</v>
      </c>
      <c r="E43" t="s">
        <v>254</v>
      </c>
      <c r="F43">
        <v>58600</v>
      </c>
      <c r="G43">
        <v>20550</v>
      </c>
      <c r="H43">
        <v>23450</v>
      </c>
      <c r="I43">
        <v>26400</v>
      </c>
      <c r="J43">
        <v>29300</v>
      </c>
      <c r="K43">
        <v>31650</v>
      </c>
      <c r="L43">
        <v>34000</v>
      </c>
      <c r="M43">
        <v>36350</v>
      </c>
      <c r="N43">
        <v>38700</v>
      </c>
      <c r="O43">
        <v>24660</v>
      </c>
      <c r="P43">
        <v>28140</v>
      </c>
      <c r="Q43">
        <v>31680</v>
      </c>
      <c r="R43">
        <v>35160</v>
      </c>
      <c r="S43">
        <v>37980</v>
      </c>
      <c r="T43">
        <v>40800</v>
      </c>
      <c r="U43">
        <v>43620</v>
      </c>
      <c r="V43">
        <v>46440</v>
      </c>
      <c r="W43" t="s">
        <v>156</v>
      </c>
      <c r="X43">
        <v>21150</v>
      </c>
      <c r="Y43">
        <v>24200</v>
      </c>
      <c r="Z43">
        <v>27200</v>
      </c>
      <c r="AA43">
        <v>30200</v>
      </c>
      <c r="AB43">
        <v>32650</v>
      </c>
      <c r="AC43">
        <v>35050</v>
      </c>
      <c r="AD43">
        <v>37450</v>
      </c>
      <c r="AE43">
        <v>39900</v>
      </c>
      <c r="AF43">
        <v>25380</v>
      </c>
      <c r="AG43">
        <v>29040</v>
      </c>
      <c r="AH43">
        <v>32640</v>
      </c>
      <c r="AI43">
        <v>36240</v>
      </c>
      <c r="AJ43">
        <v>39180</v>
      </c>
      <c r="AK43">
        <v>42060</v>
      </c>
      <c r="AL43">
        <v>44940</v>
      </c>
      <c r="AM43">
        <v>47880</v>
      </c>
      <c r="AN43" t="s">
        <v>255</v>
      </c>
      <c r="AO43" t="s">
        <v>255</v>
      </c>
      <c r="AP43" t="s">
        <v>158</v>
      </c>
      <c r="AQ43">
        <v>0</v>
      </c>
      <c r="AR43" t="s">
        <v>79</v>
      </c>
      <c r="AS43" t="s">
        <v>35</v>
      </c>
      <c r="AT43">
        <v>73</v>
      </c>
      <c r="AU43" t="s">
        <v>79</v>
      </c>
    </row>
    <row r="44" spans="2:47" x14ac:dyDescent="0.25">
      <c r="B44" t="str">
        <f t="shared" si="0"/>
        <v>Graham County</v>
      </c>
      <c r="C44">
        <v>37</v>
      </c>
      <c r="D44" t="s">
        <v>256</v>
      </c>
      <c r="E44" t="s">
        <v>257</v>
      </c>
      <c r="F44">
        <v>40300</v>
      </c>
      <c r="G44">
        <v>17300</v>
      </c>
      <c r="H44">
        <v>19800</v>
      </c>
      <c r="I44">
        <v>22250</v>
      </c>
      <c r="J44">
        <v>24700</v>
      </c>
      <c r="K44">
        <v>26700</v>
      </c>
      <c r="L44">
        <v>28700</v>
      </c>
      <c r="M44">
        <v>30650</v>
      </c>
      <c r="N44">
        <v>32650</v>
      </c>
      <c r="O44">
        <v>20760</v>
      </c>
      <c r="P44">
        <v>23760</v>
      </c>
      <c r="Q44">
        <v>26700</v>
      </c>
      <c r="R44">
        <v>29640</v>
      </c>
      <c r="S44">
        <v>32040</v>
      </c>
      <c r="T44">
        <v>34440</v>
      </c>
      <c r="U44">
        <v>36780</v>
      </c>
      <c r="V44">
        <v>39180</v>
      </c>
      <c r="W44" t="s">
        <v>156</v>
      </c>
      <c r="X44">
        <v>17800</v>
      </c>
      <c r="Y44">
        <v>20350</v>
      </c>
      <c r="Z44">
        <v>22900</v>
      </c>
      <c r="AA44">
        <v>25400</v>
      </c>
      <c r="AB44">
        <v>27450</v>
      </c>
      <c r="AC44">
        <v>29500</v>
      </c>
      <c r="AD44">
        <v>31500</v>
      </c>
      <c r="AE44">
        <v>33550</v>
      </c>
      <c r="AF44">
        <v>21360</v>
      </c>
      <c r="AG44">
        <v>24420</v>
      </c>
      <c r="AH44">
        <v>27480</v>
      </c>
      <c r="AI44">
        <v>30480</v>
      </c>
      <c r="AJ44">
        <v>32940</v>
      </c>
      <c r="AK44">
        <v>35400</v>
      </c>
      <c r="AL44">
        <v>37800</v>
      </c>
      <c r="AM44">
        <v>40260</v>
      </c>
      <c r="AN44" t="s">
        <v>258</v>
      </c>
      <c r="AO44" t="s">
        <v>258</v>
      </c>
      <c r="AP44" t="s">
        <v>158</v>
      </c>
      <c r="AQ44">
        <v>0</v>
      </c>
      <c r="AR44" t="s">
        <v>80</v>
      </c>
      <c r="AS44" t="s">
        <v>35</v>
      </c>
      <c r="AT44">
        <v>75</v>
      </c>
      <c r="AU44" t="s">
        <v>80</v>
      </c>
    </row>
    <row r="45" spans="2:47" x14ac:dyDescent="0.25">
      <c r="B45" t="str">
        <f t="shared" si="0"/>
        <v>Granville County</v>
      </c>
      <c r="C45">
        <v>37</v>
      </c>
      <c r="D45" t="s">
        <v>259</v>
      </c>
      <c r="E45" t="s">
        <v>260</v>
      </c>
      <c r="F45">
        <v>59700</v>
      </c>
      <c r="G45">
        <v>20900</v>
      </c>
      <c r="H45">
        <v>23900</v>
      </c>
      <c r="I45">
        <v>26900</v>
      </c>
      <c r="J45">
        <v>29850</v>
      </c>
      <c r="K45">
        <v>32250</v>
      </c>
      <c r="L45">
        <v>34650</v>
      </c>
      <c r="M45">
        <v>37050</v>
      </c>
      <c r="N45">
        <v>39450</v>
      </c>
      <c r="O45">
        <v>25080</v>
      </c>
      <c r="P45">
        <v>28680</v>
      </c>
      <c r="Q45">
        <v>32280</v>
      </c>
      <c r="R45">
        <v>35820</v>
      </c>
      <c r="S45">
        <v>38700</v>
      </c>
      <c r="T45">
        <v>41580</v>
      </c>
      <c r="U45">
        <v>44460</v>
      </c>
      <c r="V45">
        <v>47340</v>
      </c>
      <c r="W45" t="s">
        <v>156</v>
      </c>
      <c r="X45">
        <v>21300</v>
      </c>
      <c r="Y45">
        <v>24350</v>
      </c>
      <c r="Z45">
        <v>27400</v>
      </c>
      <c r="AA45">
        <v>30400</v>
      </c>
      <c r="AB45">
        <v>32850</v>
      </c>
      <c r="AC45">
        <v>35300</v>
      </c>
      <c r="AD45">
        <v>37700</v>
      </c>
      <c r="AE45">
        <v>40150</v>
      </c>
      <c r="AF45">
        <v>25560</v>
      </c>
      <c r="AG45">
        <v>29220</v>
      </c>
      <c r="AH45">
        <v>32880</v>
      </c>
      <c r="AI45">
        <v>36480</v>
      </c>
      <c r="AJ45">
        <v>39420</v>
      </c>
      <c r="AK45">
        <v>42360</v>
      </c>
      <c r="AL45">
        <v>45240</v>
      </c>
      <c r="AM45">
        <v>48180</v>
      </c>
      <c r="AN45" t="s">
        <v>261</v>
      </c>
      <c r="AO45" t="s">
        <v>261</v>
      </c>
      <c r="AP45" t="s">
        <v>158</v>
      </c>
      <c r="AQ45">
        <v>0</v>
      </c>
      <c r="AR45" t="s">
        <v>81</v>
      </c>
      <c r="AS45" t="s">
        <v>35</v>
      </c>
      <c r="AT45">
        <v>77</v>
      </c>
      <c r="AU45" t="s">
        <v>81</v>
      </c>
    </row>
    <row r="46" spans="2:47" x14ac:dyDescent="0.25">
      <c r="B46" t="str">
        <f t="shared" si="0"/>
        <v>Greene County</v>
      </c>
      <c r="C46">
        <v>37</v>
      </c>
      <c r="D46" t="s">
        <v>262</v>
      </c>
      <c r="E46" t="s">
        <v>263</v>
      </c>
      <c r="F46">
        <v>52900</v>
      </c>
      <c r="G46">
        <v>18550</v>
      </c>
      <c r="H46">
        <v>21200</v>
      </c>
      <c r="I46">
        <v>23850</v>
      </c>
      <c r="J46">
        <v>26450</v>
      </c>
      <c r="K46">
        <v>28600</v>
      </c>
      <c r="L46">
        <v>30700</v>
      </c>
      <c r="M46">
        <v>32800</v>
      </c>
      <c r="N46">
        <v>34950</v>
      </c>
      <c r="O46">
        <v>22260</v>
      </c>
      <c r="P46">
        <v>25440</v>
      </c>
      <c r="Q46">
        <v>28620</v>
      </c>
      <c r="R46">
        <v>31740</v>
      </c>
      <c r="S46">
        <v>34320</v>
      </c>
      <c r="T46">
        <v>36840</v>
      </c>
      <c r="U46">
        <v>39360</v>
      </c>
      <c r="V46">
        <v>41940</v>
      </c>
      <c r="W46" t="s">
        <v>156</v>
      </c>
      <c r="X46">
        <v>20800</v>
      </c>
      <c r="Y46">
        <v>23750</v>
      </c>
      <c r="Z46">
        <v>26700</v>
      </c>
      <c r="AA46">
        <v>29650</v>
      </c>
      <c r="AB46">
        <v>32050</v>
      </c>
      <c r="AC46">
        <v>34400</v>
      </c>
      <c r="AD46">
        <v>36800</v>
      </c>
      <c r="AE46">
        <v>39150</v>
      </c>
      <c r="AF46">
        <v>24960</v>
      </c>
      <c r="AG46">
        <v>28500</v>
      </c>
      <c r="AH46">
        <v>32040</v>
      </c>
      <c r="AI46">
        <v>35580</v>
      </c>
      <c r="AJ46">
        <v>38460</v>
      </c>
      <c r="AK46">
        <v>41280</v>
      </c>
      <c r="AL46">
        <v>44160</v>
      </c>
      <c r="AM46">
        <v>46980</v>
      </c>
      <c r="AN46" t="s">
        <v>264</v>
      </c>
      <c r="AO46" t="s">
        <v>264</v>
      </c>
      <c r="AP46" t="s">
        <v>158</v>
      </c>
      <c r="AQ46">
        <v>1</v>
      </c>
      <c r="AR46" t="s">
        <v>82</v>
      </c>
      <c r="AS46" t="s">
        <v>35</v>
      </c>
      <c r="AT46">
        <v>79</v>
      </c>
      <c r="AU46" t="s">
        <v>82</v>
      </c>
    </row>
    <row r="47" spans="2:47" x14ac:dyDescent="0.25">
      <c r="B47" t="str">
        <f t="shared" si="0"/>
        <v>Guilford County</v>
      </c>
      <c r="C47">
        <v>37</v>
      </c>
      <c r="D47" t="s">
        <v>265</v>
      </c>
      <c r="E47" t="s">
        <v>266</v>
      </c>
      <c r="F47">
        <v>55100</v>
      </c>
      <c r="G47">
        <v>19300</v>
      </c>
      <c r="H47">
        <v>22050</v>
      </c>
      <c r="I47">
        <v>24800</v>
      </c>
      <c r="J47">
        <v>27550</v>
      </c>
      <c r="K47">
        <v>29800</v>
      </c>
      <c r="L47">
        <v>32000</v>
      </c>
      <c r="M47">
        <v>34200</v>
      </c>
      <c r="N47">
        <v>36400</v>
      </c>
      <c r="O47">
        <v>23160</v>
      </c>
      <c r="P47">
        <v>26460</v>
      </c>
      <c r="Q47">
        <v>29760</v>
      </c>
      <c r="R47">
        <v>33060</v>
      </c>
      <c r="S47">
        <v>35760</v>
      </c>
      <c r="T47">
        <v>38400</v>
      </c>
      <c r="U47">
        <v>41040</v>
      </c>
      <c r="V47">
        <v>43680</v>
      </c>
      <c r="W47" t="s">
        <v>156</v>
      </c>
      <c r="X47">
        <v>20600</v>
      </c>
      <c r="Y47">
        <v>23550</v>
      </c>
      <c r="Z47">
        <v>26500</v>
      </c>
      <c r="AA47">
        <v>29400</v>
      </c>
      <c r="AB47">
        <v>31800</v>
      </c>
      <c r="AC47">
        <v>34150</v>
      </c>
      <c r="AD47">
        <v>36500</v>
      </c>
      <c r="AE47">
        <v>38850</v>
      </c>
      <c r="AF47">
        <v>24720</v>
      </c>
      <c r="AG47">
        <v>28260</v>
      </c>
      <c r="AH47">
        <v>31800</v>
      </c>
      <c r="AI47">
        <v>35280</v>
      </c>
      <c r="AJ47">
        <v>38160</v>
      </c>
      <c r="AK47">
        <v>40980</v>
      </c>
      <c r="AL47">
        <v>43800</v>
      </c>
      <c r="AM47">
        <v>46620</v>
      </c>
      <c r="AN47" t="s">
        <v>267</v>
      </c>
      <c r="AO47" t="s">
        <v>267</v>
      </c>
      <c r="AP47" t="s">
        <v>158</v>
      </c>
      <c r="AQ47">
        <v>1</v>
      </c>
      <c r="AR47" t="s">
        <v>83</v>
      </c>
      <c r="AS47" t="s">
        <v>35</v>
      </c>
      <c r="AT47">
        <v>81</v>
      </c>
      <c r="AU47" t="s">
        <v>83</v>
      </c>
    </row>
    <row r="48" spans="2:47" x14ac:dyDescent="0.25">
      <c r="B48" t="str">
        <f t="shared" si="0"/>
        <v>Halifax County</v>
      </c>
      <c r="C48">
        <v>37</v>
      </c>
      <c r="D48" t="s">
        <v>268</v>
      </c>
      <c r="E48" t="s">
        <v>269</v>
      </c>
      <c r="F48">
        <v>42800</v>
      </c>
      <c r="G48">
        <v>17300</v>
      </c>
      <c r="H48">
        <v>19800</v>
      </c>
      <c r="I48">
        <v>22250</v>
      </c>
      <c r="J48">
        <v>24700</v>
      </c>
      <c r="K48">
        <v>26700</v>
      </c>
      <c r="L48">
        <v>28700</v>
      </c>
      <c r="M48">
        <v>30650</v>
      </c>
      <c r="N48">
        <v>32650</v>
      </c>
      <c r="O48">
        <v>20760</v>
      </c>
      <c r="P48">
        <v>23760</v>
      </c>
      <c r="Q48">
        <v>26700</v>
      </c>
      <c r="R48">
        <v>29640</v>
      </c>
      <c r="S48">
        <v>32040</v>
      </c>
      <c r="T48">
        <v>34440</v>
      </c>
      <c r="U48">
        <v>36780</v>
      </c>
      <c r="V48">
        <v>39180</v>
      </c>
      <c r="W48" t="s">
        <v>156</v>
      </c>
      <c r="X48">
        <v>18500</v>
      </c>
      <c r="Y48">
        <v>21150</v>
      </c>
      <c r="Z48">
        <v>23800</v>
      </c>
      <c r="AA48">
        <v>26400</v>
      </c>
      <c r="AB48">
        <v>28550</v>
      </c>
      <c r="AC48">
        <v>30650</v>
      </c>
      <c r="AD48">
        <v>32750</v>
      </c>
      <c r="AE48">
        <v>34850</v>
      </c>
      <c r="AF48">
        <v>22200</v>
      </c>
      <c r="AG48">
        <v>25380</v>
      </c>
      <c r="AH48">
        <v>28560</v>
      </c>
      <c r="AI48">
        <v>31680</v>
      </c>
      <c r="AJ48">
        <v>34260</v>
      </c>
      <c r="AK48">
        <v>36780</v>
      </c>
      <c r="AL48">
        <v>39300</v>
      </c>
      <c r="AM48">
        <v>41820</v>
      </c>
      <c r="AN48" t="s">
        <v>270</v>
      </c>
      <c r="AO48" t="s">
        <v>270</v>
      </c>
      <c r="AP48" t="s">
        <v>158</v>
      </c>
      <c r="AQ48">
        <v>0</v>
      </c>
      <c r="AR48" t="s">
        <v>84</v>
      </c>
      <c r="AS48" t="s">
        <v>35</v>
      </c>
      <c r="AT48">
        <v>83</v>
      </c>
      <c r="AU48" t="s">
        <v>84</v>
      </c>
    </row>
    <row r="49" spans="2:47" x14ac:dyDescent="0.25">
      <c r="B49" t="str">
        <f t="shared" si="0"/>
        <v>Harnett County</v>
      </c>
      <c r="C49">
        <v>37</v>
      </c>
      <c r="D49" t="s">
        <v>271</v>
      </c>
      <c r="E49" t="s">
        <v>272</v>
      </c>
      <c r="F49">
        <v>51100</v>
      </c>
      <c r="G49">
        <v>17900</v>
      </c>
      <c r="H49">
        <v>20450</v>
      </c>
      <c r="I49">
        <v>23000</v>
      </c>
      <c r="J49">
        <v>25550</v>
      </c>
      <c r="K49">
        <v>27600</v>
      </c>
      <c r="L49">
        <v>29650</v>
      </c>
      <c r="M49">
        <v>31700</v>
      </c>
      <c r="N49">
        <v>33750</v>
      </c>
      <c r="O49">
        <v>21480</v>
      </c>
      <c r="P49">
        <v>24540</v>
      </c>
      <c r="Q49">
        <v>27600</v>
      </c>
      <c r="R49">
        <v>30660</v>
      </c>
      <c r="S49">
        <v>33120</v>
      </c>
      <c r="T49">
        <v>35580</v>
      </c>
      <c r="U49">
        <v>38040</v>
      </c>
      <c r="V49">
        <v>40500</v>
      </c>
      <c r="W49" t="s">
        <v>188</v>
      </c>
      <c r="AN49" t="s">
        <v>273</v>
      </c>
      <c r="AO49" t="s">
        <v>273</v>
      </c>
      <c r="AP49" t="s">
        <v>158</v>
      </c>
      <c r="AQ49">
        <v>0</v>
      </c>
      <c r="AR49" t="s">
        <v>85</v>
      </c>
      <c r="AS49" t="s">
        <v>35</v>
      </c>
      <c r="AT49">
        <v>85</v>
      </c>
      <c r="AU49" t="s">
        <v>85</v>
      </c>
    </row>
    <row r="50" spans="2:47" x14ac:dyDescent="0.25">
      <c r="B50" t="str">
        <f t="shared" si="0"/>
        <v>Haywood County</v>
      </c>
      <c r="C50">
        <v>37</v>
      </c>
      <c r="D50" t="s">
        <v>274</v>
      </c>
      <c r="E50" t="s">
        <v>275</v>
      </c>
      <c r="F50">
        <v>54500</v>
      </c>
      <c r="G50">
        <v>19100</v>
      </c>
      <c r="H50">
        <v>21800</v>
      </c>
      <c r="I50">
        <v>24550</v>
      </c>
      <c r="J50">
        <v>27250</v>
      </c>
      <c r="K50">
        <v>29450</v>
      </c>
      <c r="L50">
        <v>31650</v>
      </c>
      <c r="M50">
        <v>33800</v>
      </c>
      <c r="N50">
        <v>36000</v>
      </c>
      <c r="O50">
        <v>22920</v>
      </c>
      <c r="P50">
        <v>26160</v>
      </c>
      <c r="Q50">
        <v>29460</v>
      </c>
      <c r="R50">
        <v>32700</v>
      </c>
      <c r="S50">
        <v>35340</v>
      </c>
      <c r="T50">
        <v>37980</v>
      </c>
      <c r="U50">
        <v>40560</v>
      </c>
      <c r="V50">
        <v>43200</v>
      </c>
      <c r="W50" t="s">
        <v>156</v>
      </c>
      <c r="X50">
        <v>19400</v>
      </c>
      <c r="Y50">
        <v>22150</v>
      </c>
      <c r="Z50">
        <v>24900</v>
      </c>
      <c r="AA50">
        <v>27650</v>
      </c>
      <c r="AB50">
        <v>29900</v>
      </c>
      <c r="AC50">
        <v>32100</v>
      </c>
      <c r="AD50">
        <v>34300</v>
      </c>
      <c r="AE50">
        <v>36500</v>
      </c>
      <c r="AF50">
        <v>23280</v>
      </c>
      <c r="AG50">
        <v>26580</v>
      </c>
      <c r="AH50">
        <v>29880</v>
      </c>
      <c r="AI50">
        <v>33180</v>
      </c>
      <c r="AJ50">
        <v>35880</v>
      </c>
      <c r="AK50">
        <v>38520</v>
      </c>
      <c r="AL50">
        <v>41160</v>
      </c>
      <c r="AM50">
        <v>43800</v>
      </c>
      <c r="AN50" t="s">
        <v>276</v>
      </c>
      <c r="AO50" t="s">
        <v>276</v>
      </c>
      <c r="AP50" t="s">
        <v>158</v>
      </c>
      <c r="AQ50">
        <v>1</v>
      </c>
      <c r="AR50" t="s">
        <v>86</v>
      </c>
      <c r="AS50" t="s">
        <v>35</v>
      </c>
      <c r="AT50">
        <v>87</v>
      </c>
      <c r="AU50" t="s">
        <v>86</v>
      </c>
    </row>
    <row r="51" spans="2:47" x14ac:dyDescent="0.25">
      <c r="B51" t="str">
        <f t="shared" si="0"/>
        <v>Henderson County</v>
      </c>
      <c r="C51">
        <v>37</v>
      </c>
      <c r="D51" t="s">
        <v>186</v>
      </c>
      <c r="E51" t="s">
        <v>187</v>
      </c>
      <c r="F51">
        <v>56000</v>
      </c>
      <c r="G51">
        <v>19600</v>
      </c>
      <c r="H51">
        <v>22400</v>
      </c>
      <c r="I51">
        <v>25200</v>
      </c>
      <c r="J51">
        <v>28000</v>
      </c>
      <c r="K51">
        <v>30250</v>
      </c>
      <c r="L51">
        <v>32500</v>
      </c>
      <c r="M51">
        <v>34750</v>
      </c>
      <c r="N51">
        <v>37000</v>
      </c>
      <c r="O51">
        <v>23520</v>
      </c>
      <c r="P51">
        <v>26880</v>
      </c>
      <c r="Q51">
        <v>30240</v>
      </c>
      <c r="R51">
        <v>33600</v>
      </c>
      <c r="S51">
        <v>36300</v>
      </c>
      <c r="T51">
        <v>39000</v>
      </c>
      <c r="U51">
        <v>41700</v>
      </c>
      <c r="V51">
        <v>44400</v>
      </c>
      <c r="W51" t="s">
        <v>188</v>
      </c>
      <c r="AN51" t="s">
        <v>277</v>
      </c>
      <c r="AO51" t="s">
        <v>277</v>
      </c>
      <c r="AP51" t="s">
        <v>158</v>
      </c>
      <c r="AQ51">
        <v>1</v>
      </c>
      <c r="AR51" t="s">
        <v>87</v>
      </c>
      <c r="AS51" t="s">
        <v>35</v>
      </c>
      <c r="AT51">
        <v>89</v>
      </c>
      <c r="AU51" t="s">
        <v>87</v>
      </c>
    </row>
    <row r="52" spans="2:47" x14ac:dyDescent="0.25">
      <c r="B52" t="str">
        <f t="shared" si="0"/>
        <v>Hertford County</v>
      </c>
      <c r="C52">
        <v>37</v>
      </c>
      <c r="D52" t="s">
        <v>278</v>
      </c>
      <c r="E52" t="s">
        <v>279</v>
      </c>
      <c r="F52">
        <v>42100</v>
      </c>
      <c r="G52">
        <v>17300</v>
      </c>
      <c r="H52">
        <v>19800</v>
      </c>
      <c r="I52">
        <v>22250</v>
      </c>
      <c r="J52">
        <v>24700</v>
      </c>
      <c r="K52">
        <v>26700</v>
      </c>
      <c r="L52">
        <v>28700</v>
      </c>
      <c r="M52">
        <v>30650</v>
      </c>
      <c r="N52">
        <v>32650</v>
      </c>
      <c r="O52">
        <v>20760</v>
      </c>
      <c r="P52">
        <v>23760</v>
      </c>
      <c r="Q52">
        <v>26700</v>
      </c>
      <c r="R52">
        <v>29640</v>
      </c>
      <c r="S52">
        <v>32040</v>
      </c>
      <c r="T52">
        <v>34440</v>
      </c>
      <c r="U52">
        <v>36780</v>
      </c>
      <c r="V52">
        <v>39180</v>
      </c>
      <c r="W52" t="s">
        <v>156</v>
      </c>
      <c r="X52">
        <v>18600</v>
      </c>
      <c r="Y52">
        <v>21250</v>
      </c>
      <c r="Z52">
        <v>23900</v>
      </c>
      <c r="AA52">
        <v>26550</v>
      </c>
      <c r="AB52">
        <v>28700</v>
      </c>
      <c r="AC52">
        <v>30800</v>
      </c>
      <c r="AD52">
        <v>32950</v>
      </c>
      <c r="AE52">
        <v>35050</v>
      </c>
      <c r="AF52">
        <v>22320</v>
      </c>
      <c r="AG52">
        <v>25500</v>
      </c>
      <c r="AH52">
        <v>28680</v>
      </c>
      <c r="AI52">
        <v>31860</v>
      </c>
      <c r="AJ52">
        <v>34440</v>
      </c>
      <c r="AK52">
        <v>36960</v>
      </c>
      <c r="AL52">
        <v>39540</v>
      </c>
      <c r="AM52">
        <v>42060</v>
      </c>
      <c r="AN52" t="s">
        <v>280</v>
      </c>
      <c r="AO52" t="s">
        <v>280</v>
      </c>
      <c r="AP52" t="s">
        <v>158</v>
      </c>
      <c r="AQ52">
        <v>0</v>
      </c>
      <c r="AR52" t="s">
        <v>88</v>
      </c>
      <c r="AS52" t="s">
        <v>35</v>
      </c>
      <c r="AT52">
        <v>91</v>
      </c>
      <c r="AU52" t="s">
        <v>88</v>
      </c>
    </row>
    <row r="53" spans="2:47" x14ac:dyDescent="0.25">
      <c r="B53" t="str">
        <f t="shared" si="0"/>
        <v>Hoke County</v>
      </c>
      <c r="C53">
        <v>37</v>
      </c>
      <c r="D53" t="s">
        <v>281</v>
      </c>
      <c r="E53" t="s">
        <v>282</v>
      </c>
      <c r="F53">
        <v>54300</v>
      </c>
      <c r="G53">
        <v>18500</v>
      </c>
      <c r="H53">
        <v>21150</v>
      </c>
      <c r="I53">
        <v>23800</v>
      </c>
      <c r="J53">
        <v>26400</v>
      </c>
      <c r="K53">
        <v>28550</v>
      </c>
      <c r="L53">
        <v>30650</v>
      </c>
      <c r="M53">
        <v>32750</v>
      </c>
      <c r="N53">
        <v>34850</v>
      </c>
      <c r="O53">
        <v>22200</v>
      </c>
      <c r="P53">
        <v>25380</v>
      </c>
      <c r="Q53">
        <v>28560</v>
      </c>
      <c r="R53">
        <v>31680</v>
      </c>
      <c r="S53">
        <v>34260</v>
      </c>
      <c r="T53">
        <v>36780</v>
      </c>
      <c r="U53">
        <v>39300</v>
      </c>
      <c r="V53">
        <v>41820</v>
      </c>
      <c r="W53" t="s">
        <v>156</v>
      </c>
      <c r="X53">
        <v>21800</v>
      </c>
      <c r="Y53">
        <v>24900</v>
      </c>
      <c r="Z53">
        <v>28000</v>
      </c>
      <c r="AA53">
        <v>31100</v>
      </c>
      <c r="AB53">
        <v>33600</v>
      </c>
      <c r="AC53">
        <v>36100</v>
      </c>
      <c r="AD53">
        <v>38600</v>
      </c>
      <c r="AE53">
        <v>41100</v>
      </c>
      <c r="AF53">
        <v>26160</v>
      </c>
      <c r="AG53">
        <v>29880</v>
      </c>
      <c r="AH53">
        <v>33600</v>
      </c>
      <c r="AI53">
        <v>37320</v>
      </c>
      <c r="AJ53">
        <v>40320</v>
      </c>
      <c r="AK53">
        <v>43320</v>
      </c>
      <c r="AL53">
        <v>46320</v>
      </c>
      <c r="AM53">
        <v>49320</v>
      </c>
      <c r="AN53" t="s">
        <v>283</v>
      </c>
      <c r="AO53" t="s">
        <v>283</v>
      </c>
      <c r="AP53" t="s">
        <v>158</v>
      </c>
      <c r="AQ53">
        <v>1</v>
      </c>
      <c r="AR53" t="s">
        <v>89</v>
      </c>
      <c r="AS53" t="s">
        <v>35</v>
      </c>
      <c r="AT53">
        <v>93</v>
      </c>
      <c r="AU53" t="s">
        <v>89</v>
      </c>
    </row>
    <row r="54" spans="2:47" x14ac:dyDescent="0.25">
      <c r="B54" t="str">
        <f t="shared" si="0"/>
        <v>Hyde County</v>
      </c>
      <c r="C54">
        <v>37</v>
      </c>
      <c r="D54" t="s">
        <v>284</v>
      </c>
      <c r="E54" t="s">
        <v>285</v>
      </c>
      <c r="F54">
        <v>43800</v>
      </c>
      <c r="G54">
        <v>17300</v>
      </c>
      <c r="H54">
        <v>19800</v>
      </c>
      <c r="I54">
        <v>22250</v>
      </c>
      <c r="J54">
        <v>24700</v>
      </c>
      <c r="K54">
        <v>26700</v>
      </c>
      <c r="L54">
        <v>28700</v>
      </c>
      <c r="M54">
        <v>30650</v>
      </c>
      <c r="N54">
        <v>32650</v>
      </c>
      <c r="O54">
        <v>20760</v>
      </c>
      <c r="P54">
        <v>23760</v>
      </c>
      <c r="Q54">
        <v>26700</v>
      </c>
      <c r="R54">
        <v>29640</v>
      </c>
      <c r="S54">
        <v>32040</v>
      </c>
      <c r="T54">
        <v>34440</v>
      </c>
      <c r="U54">
        <v>36780</v>
      </c>
      <c r="V54">
        <v>39180</v>
      </c>
      <c r="W54" t="s">
        <v>156</v>
      </c>
      <c r="X54">
        <v>20050</v>
      </c>
      <c r="Y54">
        <v>22900</v>
      </c>
      <c r="Z54">
        <v>25750</v>
      </c>
      <c r="AA54">
        <v>28600</v>
      </c>
      <c r="AB54">
        <v>30900</v>
      </c>
      <c r="AC54">
        <v>33200</v>
      </c>
      <c r="AD54">
        <v>35500</v>
      </c>
      <c r="AE54">
        <v>37800</v>
      </c>
      <c r="AF54">
        <v>24060</v>
      </c>
      <c r="AG54">
        <v>27480</v>
      </c>
      <c r="AH54">
        <v>30900</v>
      </c>
      <c r="AI54">
        <v>34320</v>
      </c>
      <c r="AJ54">
        <v>37080</v>
      </c>
      <c r="AK54">
        <v>39840</v>
      </c>
      <c r="AL54">
        <v>42600</v>
      </c>
      <c r="AM54">
        <v>45360</v>
      </c>
      <c r="AN54" t="s">
        <v>286</v>
      </c>
      <c r="AO54" t="s">
        <v>286</v>
      </c>
      <c r="AP54" t="s">
        <v>158</v>
      </c>
      <c r="AQ54">
        <v>0</v>
      </c>
      <c r="AR54" t="s">
        <v>90</v>
      </c>
      <c r="AS54" t="s">
        <v>35</v>
      </c>
      <c r="AT54">
        <v>95</v>
      </c>
      <c r="AU54" t="s">
        <v>90</v>
      </c>
    </row>
    <row r="55" spans="2:47" x14ac:dyDescent="0.25">
      <c r="B55" t="str">
        <f t="shared" si="0"/>
        <v>Iredell County</v>
      </c>
      <c r="C55">
        <v>37</v>
      </c>
      <c r="D55" t="s">
        <v>287</v>
      </c>
      <c r="E55" t="s">
        <v>288</v>
      </c>
      <c r="F55">
        <v>61000</v>
      </c>
      <c r="G55">
        <v>21350</v>
      </c>
      <c r="H55">
        <v>24400</v>
      </c>
      <c r="I55">
        <v>27450</v>
      </c>
      <c r="J55">
        <v>30500</v>
      </c>
      <c r="K55">
        <v>32950</v>
      </c>
      <c r="L55">
        <v>35400</v>
      </c>
      <c r="M55">
        <v>37850</v>
      </c>
      <c r="N55">
        <v>40300</v>
      </c>
      <c r="O55">
        <v>25620</v>
      </c>
      <c r="P55">
        <v>29280</v>
      </c>
      <c r="Q55">
        <v>32940</v>
      </c>
      <c r="R55">
        <v>36600</v>
      </c>
      <c r="S55">
        <v>39540</v>
      </c>
      <c r="T55">
        <v>42480</v>
      </c>
      <c r="U55">
        <v>45420</v>
      </c>
      <c r="V55">
        <v>48360</v>
      </c>
      <c r="W55" t="s">
        <v>156</v>
      </c>
      <c r="X55">
        <v>21650</v>
      </c>
      <c r="Y55">
        <v>24750</v>
      </c>
      <c r="Z55">
        <v>27850</v>
      </c>
      <c r="AA55">
        <v>30900</v>
      </c>
      <c r="AB55">
        <v>33400</v>
      </c>
      <c r="AC55">
        <v>35850</v>
      </c>
      <c r="AD55">
        <v>38350</v>
      </c>
      <c r="AE55">
        <v>40800</v>
      </c>
      <c r="AF55">
        <v>25980</v>
      </c>
      <c r="AG55">
        <v>29700</v>
      </c>
      <c r="AH55">
        <v>33420</v>
      </c>
      <c r="AI55">
        <v>37080</v>
      </c>
      <c r="AJ55">
        <v>40080</v>
      </c>
      <c r="AK55">
        <v>43020</v>
      </c>
      <c r="AL55">
        <v>46020</v>
      </c>
      <c r="AM55">
        <v>48960</v>
      </c>
      <c r="AN55" t="s">
        <v>289</v>
      </c>
      <c r="AO55" t="s">
        <v>289</v>
      </c>
      <c r="AP55" t="s">
        <v>158</v>
      </c>
      <c r="AQ55">
        <v>0</v>
      </c>
      <c r="AR55" t="s">
        <v>91</v>
      </c>
      <c r="AS55" t="s">
        <v>35</v>
      </c>
      <c r="AT55">
        <v>97</v>
      </c>
      <c r="AU55" t="s">
        <v>91</v>
      </c>
    </row>
    <row r="56" spans="2:47" x14ac:dyDescent="0.25">
      <c r="B56" t="str">
        <f t="shared" si="0"/>
        <v>Jackson County</v>
      </c>
      <c r="C56">
        <v>37</v>
      </c>
      <c r="D56" t="s">
        <v>290</v>
      </c>
      <c r="E56" t="s">
        <v>291</v>
      </c>
      <c r="F56">
        <v>51800</v>
      </c>
      <c r="G56">
        <v>18150</v>
      </c>
      <c r="H56">
        <v>20750</v>
      </c>
      <c r="I56">
        <v>23350</v>
      </c>
      <c r="J56">
        <v>25900</v>
      </c>
      <c r="K56">
        <v>28000</v>
      </c>
      <c r="L56">
        <v>30050</v>
      </c>
      <c r="M56">
        <v>32150</v>
      </c>
      <c r="N56">
        <v>34200</v>
      </c>
      <c r="O56">
        <v>21780</v>
      </c>
      <c r="P56">
        <v>24900</v>
      </c>
      <c r="Q56">
        <v>28020</v>
      </c>
      <c r="R56">
        <v>31080</v>
      </c>
      <c r="S56">
        <v>33600</v>
      </c>
      <c r="T56">
        <v>36060</v>
      </c>
      <c r="U56">
        <v>38580</v>
      </c>
      <c r="V56">
        <v>41040</v>
      </c>
      <c r="W56" t="s">
        <v>156</v>
      </c>
      <c r="X56">
        <v>18450</v>
      </c>
      <c r="Y56">
        <v>21050</v>
      </c>
      <c r="Z56">
        <v>23700</v>
      </c>
      <c r="AA56">
        <v>26300</v>
      </c>
      <c r="AB56">
        <v>28450</v>
      </c>
      <c r="AC56">
        <v>30550</v>
      </c>
      <c r="AD56">
        <v>32650</v>
      </c>
      <c r="AE56">
        <v>34750</v>
      </c>
      <c r="AF56">
        <v>22140</v>
      </c>
      <c r="AG56">
        <v>25260</v>
      </c>
      <c r="AH56">
        <v>28440</v>
      </c>
      <c r="AI56">
        <v>31560</v>
      </c>
      <c r="AJ56">
        <v>34140</v>
      </c>
      <c r="AK56">
        <v>36660</v>
      </c>
      <c r="AL56">
        <v>39180</v>
      </c>
      <c r="AM56">
        <v>41700</v>
      </c>
      <c r="AN56" t="s">
        <v>292</v>
      </c>
      <c r="AO56" t="s">
        <v>292</v>
      </c>
      <c r="AP56" t="s">
        <v>158</v>
      </c>
      <c r="AQ56">
        <v>0</v>
      </c>
      <c r="AR56" t="s">
        <v>92</v>
      </c>
      <c r="AS56" t="s">
        <v>35</v>
      </c>
      <c r="AT56">
        <v>99</v>
      </c>
      <c r="AU56" t="s">
        <v>92</v>
      </c>
    </row>
    <row r="57" spans="2:47" x14ac:dyDescent="0.25">
      <c r="B57" t="str">
        <f t="shared" si="0"/>
        <v>Johnston County</v>
      </c>
      <c r="C57">
        <v>37</v>
      </c>
      <c r="D57" t="s">
        <v>249</v>
      </c>
      <c r="E57" t="s">
        <v>250</v>
      </c>
      <c r="F57">
        <v>75800</v>
      </c>
      <c r="G57">
        <v>26550</v>
      </c>
      <c r="H57">
        <v>30350</v>
      </c>
      <c r="I57">
        <v>34150</v>
      </c>
      <c r="J57">
        <v>37900</v>
      </c>
      <c r="K57">
        <v>40950</v>
      </c>
      <c r="L57">
        <v>44000</v>
      </c>
      <c r="M57">
        <v>47000</v>
      </c>
      <c r="N57">
        <v>50050</v>
      </c>
      <c r="O57">
        <v>31860</v>
      </c>
      <c r="P57">
        <v>36420</v>
      </c>
      <c r="Q57">
        <v>40980</v>
      </c>
      <c r="R57">
        <v>45480</v>
      </c>
      <c r="S57">
        <v>49140</v>
      </c>
      <c r="T57">
        <v>52800</v>
      </c>
      <c r="U57">
        <v>56400</v>
      </c>
      <c r="V57">
        <v>60060</v>
      </c>
      <c r="W57" t="s">
        <v>156</v>
      </c>
      <c r="X57">
        <v>28000</v>
      </c>
      <c r="Y57">
        <v>32000</v>
      </c>
      <c r="Z57">
        <v>36000</v>
      </c>
      <c r="AA57">
        <v>39950</v>
      </c>
      <c r="AB57">
        <v>43150</v>
      </c>
      <c r="AC57">
        <v>46350</v>
      </c>
      <c r="AD57">
        <v>49550</v>
      </c>
      <c r="AE57">
        <v>52750</v>
      </c>
      <c r="AF57">
        <v>33600</v>
      </c>
      <c r="AG57">
        <v>38400</v>
      </c>
      <c r="AH57">
        <v>43200</v>
      </c>
      <c r="AI57">
        <v>47940</v>
      </c>
      <c r="AJ57">
        <v>51780</v>
      </c>
      <c r="AK57">
        <v>55620</v>
      </c>
      <c r="AL57">
        <v>59460</v>
      </c>
      <c r="AM57">
        <v>63300</v>
      </c>
      <c r="AN57" t="s">
        <v>293</v>
      </c>
      <c r="AO57" t="s">
        <v>293</v>
      </c>
      <c r="AP57" t="s">
        <v>158</v>
      </c>
      <c r="AQ57">
        <v>1</v>
      </c>
      <c r="AR57" t="s">
        <v>93</v>
      </c>
      <c r="AS57" t="s">
        <v>35</v>
      </c>
      <c r="AT57">
        <v>101</v>
      </c>
      <c r="AU57" t="s">
        <v>93</v>
      </c>
    </row>
    <row r="58" spans="2:47" x14ac:dyDescent="0.25">
      <c r="B58" t="str">
        <f t="shared" si="0"/>
        <v>Jones County</v>
      </c>
      <c r="C58">
        <v>37</v>
      </c>
      <c r="D58" t="s">
        <v>294</v>
      </c>
      <c r="E58" t="s">
        <v>295</v>
      </c>
      <c r="F58">
        <v>51300</v>
      </c>
      <c r="G58">
        <v>17950</v>
      </c>
      <c r="H58">
        <v>20500</v>
      </c>
      <c r="I58">
        <v>23050</v>
      </c>
      <c r="J58">
        <v>25600</v>
      </c>
      <c r="K58">
        <v>27650</v>
      </c>
      <c r="L58">
        <v>29700</v>
      </c>
      <c r="M58">
        <v>31750</v>
      </c>
      <c r="N58">
        <v>33800</v>
      </c>
      <c r="O58">
        <v>21540</v>
      </c>
      <c r="P58">
        <v>24600</v>
      </c>
      <c r="Q58">
        <v>27660</v>
      </c>
      <c r="R58">
        <v>30720</v>
      </c>
      <c r="S58">
        <v>33180</v>
      </c>
      <c r="T58">
        <v>35640</v>
      </c>
      <c r="U58">
        <v>38100</v>
      </c>
      <c r="V58">
        <v>40560</v>
      </c>
      <c r="W58" t="s">
        <v>156</v>
      </c>
      <c r="X58">
        <v>20650</v>
      </c>
      <c r="Y58">
        <v>23600</v>
      </c>
      <c r="Z58">
        <v>26550</v>
      </c>
      <c r="AA58">
        <v>29450</v>
      </c>
      <c r="AB58">
        <v>31850</v>
      </c>
      <c r="AC58">
        <v>34200</v>
      </c>
      <c r="AD58">
        <v>36550</v>
      </c>
      <c r="AE58">
        <v>38900</v>
      </c>
      <c r="AF58">
        <v>24780</v>
      </c>
      <c r="AG58">
        <v>28320</v>
      </c>
      <c r="AH58">
        <v>31860</v>
      </c>
      <c r="AI58">
        <v>35340</v>
      </c>
      <c r="AJ58">
        <v>38220</v>
      </c>
      <c r="AK58">
        <v>41040</v>
      </c>
      <c r="AL58">
        <v>43860</v>
      </c>
      <c r="AM58">
        <v>46680</v>
      </c>
      <c r="AN58" t="s">
        <v>296</v>
      </c>
      <c r="AO58" t="s">
        <v>296</v>
      </c>
      <c r="AP58" t="s">
        <v>158</v>
      </c>
      <c r="AQ58">
        <v>0</v>
      </c>
      <c r="AR58" t="s">
        <v>94</v>
      </c>
      <c r="AS58" t="s">
        <v>35</v>
      </c>
      <c r="AT58">
        <v>103</v>
      </c>
      <c r="AU58" t="s">
        <v>94</v>
      </c>
    </row>
    <row r="59" spans="2:47" x14ac:dyDescent="0.25">
      <c r="B59" t="str">
        <f t="shared" si="0"/>
        <v>Lee County</v>
      </c>
      <c r="C59">
        <v>37</v>
      </c>
      <c r="D59" t="s">
        <v>297</v>
      </c>
      <c r="E59" t="s">
        <v>298</v>
      </c>
      <c r="F59">
        <v>55600</v>
      </c>
      <c r="G59">
        <v>19500</v>
      </c>
      <c r="H59">
        <v>22250</v>
      </c>
      <c r="I59">
        <v>25050</v>
      </c>
      <c r="J59">
        <v>27800</v>
      </c>
      <c r="K59">
        <v>30050</v>
      </c>
      <c r="L59">
        <v>32250</v>
      </c>
      <c r="M59">
        <v>34500</v>
      </c>
      <c r="N59">
        <v>36700</v>
      </c>
      <c r="O59">
        <v>23400</v>
      </c>
      <c r="P59">
        <v>26700</v>
      </c>
      <c r="Q59">
        <v>30060</v>
      </c>
      <c r="R59">
        <v>33360</v>
      </c>
      <c r="S59">
        <v>36060</v>
      </c>
      <c r="T59">
        <v>38700</v>
      </c>
      <c r="U59">
        <v>41400</v>
      </c>
      <c r="V59">
        <v>44040</v>
      </c>
      <c r="W59" t="s">
        <v>156</v>
      </c>
      <c r="X59">
        <v>19850</v>
      </c>
      <c r="Y59">
        <v>22700</v>
      </c>
      <c r="Z59">
        <v>25550</v>
      </c>
      <c r="AA59">
        <v>28350</v>
      </c>
      <c r="AB59">
        <v>30650</v>
      </c>
      <c r="AC59">
        <v>32900</v>
      </c>
      <c r="AD59">
        <v>35200</v>
      </c>
      <c r="AE59">
        <v>37450</v>
      </c>
      <c r="AF59">
        <v>23820</v>
      </c>
      <c r="AG59">
        <v>27240</v>
      </c>
      <c r="AH59">
        <v>30660</v>
      </c>
      <c r="AI59">
        <v>34020</v>
      </c>
      <c r="AJ59">
        <v>36780</v>
      </c>
      <c r="AK59">
        <v>39480</v>
      </c>
      <c r="AL59">
        <v>42240</v>
      </c>
      <c r="AM59">
        <v>44940</v>
      </c>
      <c r="AN59" t="s">
        <v>299</v>
      </c>
      <c r="AO59" t="s">
        <v>299</v>
      </c>
      <c r="AP59" t="s">
        <v>158</v>
      </c>
      <c r="AQ59">
        <v>0</v>
      </c>
      <c r="AR59" t="s">
        <v>95</v>
      </c>
      <c r="AS59" t="s">
        <v>35</v>
      </c>
      <c r="AT59">
        <v>105</v>
      </c>
      <c r="AU59" t="s">
        <v>95</v>
      </c>
    </row>
    <row r="60" spans="2:47" x14ac:dyDescent="0.25">
      <c r="B60" t="str">
        <f t="shared" si="0"/>
        <v>Lenoir County</v>
      </c>
      <c r="C60">
        <v>37</v>
      </c>
      <c r="D60" t="s">
        <v>300</v>
      </c>
      <c r="E60" t="s">
        <v>301</v>
      </c>
      <c r="F60">
        <v>45100</v>
      </c>
      <c r="G60">
        <v>17300</v>
      </c>
      <c r="H60">
        <v>19800</v>
      </c>
      <c r="I60">
        <v>22250</v>
      </c>
      <c r="J60">
        <v>24700</v>
      </c>
      <c r="K60">
        <v>26700</v>
      </c>
      <c r="L60">
        <v>28700</v>
      </c>
      <c r="M60">
        <v>30650</v>
      </c>
      <c r="N60">
        <v>32650</v>
      </c>
      <c r="O60">
        <v>20760</v>
      </c>
      <c r="P60">
        <v>23760</v>
      </c>
      <c r="Q60">
        <v>26700</v>
      </c>
      <c r="R60">
        <v>29640</v>
      </c>
      <c r="S60">
        <v>32040</v>
      </c>
      <c r="T60">
        <v>34440</v>
      </c>
      <c r="U60">
        <v>36780</v>
      </c>
      <c r="V60">
        <v>39180</v>
      </c>
      <c r="W60" t="s">
        <v>156</v>
      </c>
      <c r="X60">
        <v>17650</v>
      </c>
      <c r="Y60">
        <v>20200</v>
      </c>
      <c r="Z60">
        <v>22700</v>
      </c>
      <c r="AA60">
        <v>25200</v>
      </c>
      <c r="AB60">
        <v>27250</v>
      </c>
      <c r="AC60">
        <v>29250</v>
      </c>
      <c r="AD60">
        <v>31250</v>
      </c>
      <c r="AE60">
        <v>33300</v>
      </c>
      <c r="AF60">
        <v>21180</v>
      </c>
      <c r="AG60">
        <v>24240</v>
      </c>
      <c r="AH60">
        <v>27240</v>
      </c>
      <c r="AI60">
        <v>30240</v>
      </c>
      <c r="AJ60">
        <v>32700</v>
      </c>
      <c r="AK60">
        <v>35100</v>
      </c>
      <c r="AL60">
        <v>37500</v>
      </c>
      <c r="AM60">
        <v>39960</v>
      </c>
      <c r="AN60" t="s">
        <v>302</v>
      </c>
      <c r="AO60" t="s">
        <v>302</v>
      </c>
      <c r="AP60" t="s">
        <v>158</v>
      </c>
      <c r="AQ60">
        <v>0</v>
      </c>
      <c r="AR60" t="s">
        <v>96</v>
      </c>
      <c r="AS60" t="s">
        <v>35</v>
      </c>
      <c r="AT60">
        <v>107</v>
      </c>
      <c r="AU60" t="s">
        <v>96</v>
      </c>
    </row>
    <row r="61" spans="2:47" x14ac:dyDescent="0.25">
      <c r="B61" t="str">
        <f t="shared" si="0"/>
        <v>Lincoln County</v>
      </c>
      <c r="C61">
        <v>37</v>
      </c>
      <c r="D61" t="s">
        <v>303</v>
      </c>
      <c r="E61" t="s">
        <v>304</v>
      </c>
      <c r="F61">
        <v>64800</v>
      </c>
      <c r="G61">
        <v>20300</v>
      </c>
      <c r="H61">
        <v>23200</v>
      </c>
      <c r="I61">
        <v>26100</v>
      </c>
      <c r="J61">
        <v>29000</v>
      </c>
      <c r="K61">
        <v>31350</v>
      </c>
      <c r="L61">
        <v>33650</v>
      </c>
      <c r="M61">
        <v>36000</v>
      </c>
      <c r="N61">
        <v>38300</v>
      </c>
      <c r="O61">
        <v>24360</v>
      </c>
      <c r="P61">
        <v>27840</v>
      </c>
      <c r="Q61">
        <v>31320</v>
      </c>
      <c r="R61">
        <v>34800</v>
      </c>
      <c r="S61">
        <v>37620</v>
      </c>
      <c r="T61">
        <v>40380</v>
      </c>
      <c r="U61">
        <v>43200</v>
      </c>
      <c r="V61">
        <v>45960</v>
      </c>
      <c r="W61" t="s">
        <v>156</v>
      </c>
      <c r="X61">
        <v>27500</v>
      </c>
      <c r="Y61">
        <v>31400</v>
      </c>
      <c r="Z61">
        <v>35350</v>
      </c>
      <c r="AA61">
        <v>39250</v>
      </c>
      <c r="AB61">
        <v>42400</v>
      </c>
      <c r="AC61">
        <v>45550</v>
      </c>
      <c r="AD61">
        <v>48700</v>
      </c>
      <c r="AE61">
        <v>51850</v>
      </c>
      <c r="AF61">
        <v>33000</v>
      </c>
      <c r="AG61">
        <v>37680</v>
      </c>
      <c r="AH61">
        <v>42420</v>
      </c>
      <c r="AI61">
        <v>47100</v>
      </c>
      <c r="AJ61">
        <v>50880</v>
      </c>
      <c r="AK61">
        <v>54660</v>
      </c>
      <c r="AL61">
        <v>58440</v>
      </c>
      <c r="AM61">
        <v>62220</v>
      </c>
      <c r="AN61" t="s">
        <v>305</v>
      </c>
      <c r="AO61" t="s">
        <v>305</v>
      </c>
      <c r="AP61" t="s">
        <v>158</v>
      </c>
      <c r="AQ61">
        <v>0</v>
      </c>
      <c r="AR61" t="s">
        <v>97</v>
      </c>
      <c r="AS61" t="s">
        <v>35</v>
      </c>
      <c r="AT61">
        <v>109</v>
      </c>
      <c r="AU61" t="s">
        <v>97</v>
      </c>
    </row>
    <row r="62" spans="2:47" x14ac:dyDescent="0.25">
      <c r="B62" t="str">
        <f t="shared" si="0"/>
        <v>McDowell County</v>
      </c>
      <c r="C62">
        <v>37</v>
      </c>
      <c r="D62" t="s">
        <v>306</v>
      </c>
      <c r="E62" t="s">
        <v>307</v>
      </c>
      <c r="F62">
        <v>48100</v>
      </c>
      <c r="G62">
        <v>17300</v>
      </c>
      <c r="H62">
        <v>19800</v>
      </c>
      <c r="I62">
        <v>22250</v>
      </c>
      <c r="J62">
        <v>24700</v>
      </c>
      <c r="K62">
        <v>26700</v>
      </c>
      <c r="L62">
        <v>28700</v>
      </c>
      <c r="M62">
        <v>30650</v>
      </c>
      <c r="N62">
        <v>32650</v>
      </c>
      <c r="O62">
        <v>20760</v>
      </c>
      <c r="P62">
        <v>23760</v>
      </c>
      <c r="Q62">
        <v>26700</v>
      </c>
      <c r="R62">
        <v>29640</v>
      </c>
      <c r="S62">
        <v>32040</v>
      </c>
      <c r="T62">
        <v>34440</v>
      </c>
      <c r="U62">
        <v>36780</v>
      </c>
      <c r="V62">
        <v>39180</v>
      </c>
      <c r="W62" t="s">
        <v>156</v>
      </c>
      <c r="X62">
        <v>19250</v>
      </c>
      <c r="Y62">
        <v>22000</v>
      </c>
      <c r="Z62">
        <v>24750</v>
      </c>
      <c r="AA62">
        <v>27450</v>
      </c>
      <c r="AB62">
        <v>29650</v>
      </c>
      <c r="AC62">
        <v>31850</v>
      </c>
      <c r="AD62">
        <v>34050</v>
      </c>
      <c r="AE62">
        <v>36250</v>
      </c>
      <c r="AF62">
        <v>23100</v>
      </c>
      <c r="AG62">
        <v>26400</v>
      </c>
      <c r="AH62">
        <v>29700</v>
      </c>
      <c r="AI62">
        <v>32940</v>
      </c>
      <c r="AJ62">
        <v>35580</v>
      </c>
      <c r="AK62">
        <v>38220</v>
      </c>
      <c r="AL62">
        <v>40860</v>
      </c>
      <c r="AM62">
        <v>43500</v>
      </c>
      <c r="AN62" t="s">
        <v>308</v>
      </c>
      <c r="AO62" t="s">
        <v>308</v>
      </c>
      <c r="AP62" t="s">
        <v>158</v>
      </c>
      <c r="AQ62">
        <v>0</v>
      </c>
      <c r="AR62" t="s">
        <v>98</v>
      </c>
      <c r="AS62" t="s">
        <v>35</v>
      </c>
      <c r="AT62">
        <v>111</v>
      </c>
      <c r="AU62" t="s">
        <v>98</v>
      </c>
    </row>
    <row r="63" spans="2:47" x14ac:dyDescent="0.25">
      <c r="B63" t="str">
        <f t="shared" si="0"/>
        <v>Macon County</v>
      </c>
      <c r="C63">
        <v>37</v>
      </c>
      <c r="D63" t="s">
        <v>309</v>
      </c>
      <c r="E63" t="s">
        <v>310</v>
      </c>
      <c r="F63">
        <v>50800</v>
      </c>
      <c r="G63">
        <v>17800</v>
      </c>
      <c r="H63">
        <v>20350</v>
      </c>
      <c r="I63">
        <v>22900</v>
      </c>
      <c r="J63">
        <v>25400</v>
      </c>
      <c r="K63">
        <v>27450</v>
      </c>
      <c r="L63">
        <v>29500</v>
      </c>
      <c r="M63">
        <v>31500</v>
      </c>
      <c r="N63">
        <v>33550</v>
      </c>
      <c r="O63">
        <v>21360</v>
      </c>
      <c r="P63">
        <v>24420</v>
      </c>
      <c r="Q63">
        <v>27480</v>
      </c>
      <c r="R63">
        <v>30480</v>
      </c>
      <c r="S63">
        <v>32940</v>
      </c>
      <c r="T63">
        <v>35400</v>
      </c>
      <c r="U63">
        <v>37800</v>
      </c>
      <c r="V63">
        <v>40260</v>
      </c>
      <c r="W63" t="s">
        <v>156</v>
      </c>
      <c r="X63">
        <v>19400</v>
      </c>
      <c r="Y63">
        <v>22150</v>
      </c>
      <c r="Z63">
        <v>24900</v>
      </c>
      <c r="AA63">
        <v>27650</v>
      </c>
      <c r="AB63">
        <v>29900</v>
      </c>
      <c r="AC63">
        <v>32100</v>
      </c>
      <c r="AD63">
        <v>34300</v>
      </c>
      <c r="AE63">
        <v>36500</v>
      </c>
      <c r="AF63">
        <v>23280</v>
      </c>
      <c r="AG63">
        <v>26580</v>
      </c>
      <c r="AH63">
        <v>29880</v>
      </c>
      <c r="AI63">
        <v>33180</v>
      </c>
      <c r="AJ63">
        <v>35880</v>
      </c>
      <c r="AK63">
        <v>38520</v>
      </c>
      <c r="AL63">
        <v>41160</v>
      </c>
      <c r="AM63">
        <v>43800</v>
      </c>
      <c r="AN63" t="s">
        <v>311</v>
      </c>
      <c r="AO63" t="s">
        <v>311</v>
      </c>
      <c r="AP63" t="s">
        <v>158</v>
      </c>
      <c r="AQ63">
        <v>0</v>
      </c>
      <c r="AR63" t="s">
        <v>99</v>
      </c>
      <c r="AS63" t="s">
        <v>35</v>
      </c>
      <c r="AT63">
        <v>113</v>
      </c>
      <c r="AU63" t="s">
        <v>99</v>
      </c>
    </row>
    <row r="64" spans="2:47" x14ac:dyDescent="0.25">
      <c r="B64" t="str">
        <f t="shared" si="0"/>
        <v>Madison County</v>
      </c>
      <c r="C64">
        <v>37</v>
      </c>
      <c r="D64" t="s">
        <v>186</v>
      </c>
      <c r="E64" t="s">
        <v>187</v>
      </c>
      <c r="F64">
        <v>56000</v>
      </c>
      <c r="G64">
        <v>19600</v>
      </c>
      <c r="H64">
        <v>22400</v>
      </c>
      <c r="I64">
        <v>25200</v>
      </c>
      <c r="J64">
        <v>28000</v>
      </c>
      <c r="K64">
        <v>30250</v>
      </c>
      <c r="L64">
        <v>32500</v>
      </c>
      <c r="M64">
        <v>34750</v>
      </c>
      <c r="N64">
        <v>37000</v>
      </c>
      <c r="O64">
        <v>23520</v>
      </c>
      <c r="P64">
        <v>26880</v>
      </c>
      <c r="Q64">
        <v>30240</v>
      </c>
      <c r="R64">
        <v>33600</v>
      </c>
      <c r="S64">
        <v>36300</v>
      </c>
      <c r="T64">
        <v>39000</v>
      </c>
      <c r="U64">
        <v>41700</v>
      </c>
      <c r="V64">
        <v>44400</v>
      </c>
      <c r="W64" t="s">
        <v>188</v>
      </c>
      <c r="AN64" t="s">
        <v>312</v>
      </c>
      <c r="AO64" t="s">
        <v>312</v>
      </c>
      <c r="AP64" t="s">
        <v>158</v>
      </c>
      <c r="AQ64">
        <v>1</v>
      </c>
      <c r="AR64" t="s">
        <v>100</v>
      </c>
      <c r="AS64" t="s">
        <v>35</v>
      </c>
      <c r="AT64">
        <v>115</v>
      </c>
      <c r="AU64" t="s">
        <v>100</v>
      </c>
    </row>
    <row r="65" spans="2:47" x14ac:dyDescent="0.25">
      <c r="B65" t="str">
        <f t="shared" si="0"/>
        <v>Martin County</v>
      </c>
      <c r="C65">
        <v>37</v>
      </c>
      <c r="D65" t="s">
        <v>313</v>
      </c>
      <c r="E65" t="s">
        <v>314</v>
      </c>
      <c r="F65">
        <v>47300</v>
      </c>
      <c r="G65">
        <v>17300</v>
      </c>
      <c r="H65">
        <v>19800</v>
      </c>
      <c r="I65">
        <v>22250</v>
      </c>
      <c r="J65">
        <v>24700</v>
      </c>
      <c r="K65">
        <v>26700</v>
      </c>
      <c r="L65">
        <v>28700</v>
      </c>
      <c r="M65">
        <v>30650</v>
      </c>
      <c r="N65">
        <v>32650</v>
      </c>
      <c r="O65">
        <v>20760</v>
      </c>
      <c r="P65">
        <v>23760</v>
      </c>
      <c r="Q65">
        <v>26700</v>
      </c>
      <c r="R65">
        <v>29640</v>
      </c>
      <c r="S65">
        <v>32040</v>
      </c>
      <c r="T65">
        <v>34440</v>
      </c>
      <c r="U65">
        <v>36780</v>
      </c>
      <c r="V65">
        <v>39180</v>
      </c>
      <c r="W65" t="s">
        <v>156</v>
      </c>
      <c r="X65">
        <v>19350</v>
      </c>
      <c r="Y65">
        <v>22100</v>
      </c>
      <c r="Z65">
        <v>24850</v>
      </c>
      <c r="AA65">
        <v>27600</v>
      </c>
      <c r="AB65">
        <v>29850</v>
      </c>
      <c r="AC65">
        <v>32050</v>
      </c>
      <c r="AD65">
        <v>34250</v>
      </c>
      <c r="AE65">
        <v>36450</v>
      </c>
      <c r="AF65">
        <v>23220</v>
      </c>
      <c r="AG65">
        <v>26520</v>
      </c>
      <c r="AH65">
        <v>29820</v>
      </c>
      <c r="AI65">
        <v>33120</v>
      </c>
      <c r="AJ65">
        <v>35820</v>
      </c>
      <c r="AK65">
        <v>38460</v>
      </c>
      <c r="AL65">
        <v>41100</v>
      </c>
      <c r="AM65">
        <v>43740</v>
      </c>
      <c r="AN65" t="s">
        <v>315</v>
      </c>
      <c r="AO65" t="s">
        <v>315</v>
      </c>
      <c r="AP65" t="s">
        <v>158</v>
      </c>
      <c r="AQ65">
        <v>0</v>
      </c>
      <c r="AR65" t="s">
        <v>101</v>
      </c>
      <c r="AS65" t="s">
        <v>35</v>
      </c>
      <c r="AT65">
        <v>117</v>
      </c>
      <c r="AU65" t="s">
        <v>101</v>
      </c>
    </row>
    <row r="66" spans="2:47" x14ac:dyDescent="0.25">
      <c r="B66" t="str">
        <f t="shared" si="0"/>
        <v>Mecklenburg County</v>
      </c>
      <c r="C66">
        <v>37</v>
      </c>
      <c r="D66" t="s">
        <v>191</v>
      </c>
      <c r="E66" t="s">
        <v>192</v>
      </c>
      <c r="F66">
        <v>64200</v>
      </c>
      <c r="G66">
        <v>22500</v>
      </c>
      <c r="H66">
        <v>25700</v>
      </c>
      <c r="I66">
        <v>28900</v>
      </c>
      <c r="J66">
        <v>32100</v>
      </c>
      <c r="K66">
        <v>34700</v>
      </c>
      <c r="L66">
        <v>37250</v>
      </c>
      <c r="M66">
        <v>39850</v>
      </c>
      <c r="N66">
        <v>42400</v>
      </c>
      <c r="O66">
        <v>27000</v>
      </c>
      <c r="P66">
        <v>30840</v>
      </c>
      <c r="Q66">
        <v>34680</v>
      </c>
      <c r="R66">
        <v>38520</v>
      </c>
      <c r="S66">
        <v>41640</v>
      </c>
      <c r="T66">
        <v>44700</v>
      </c>
      <c r="U66">
        <v>47820</v>
      </c>
      <c r="V66">
        <v>50880</v>
      </c>
      <c r="W66" t="s">
        <v>156</v>
      </c>
      <c r="X66">
        <v>24050</v>
      </c>
      <c r="Y66">
        <v>27450</v>
      </c>
      <c r="Z66">
        <v>30900</v>
      </c>
      <c r="AA66">
        <v>34300</v>
      </c>
      <c r="AB66">
        <v>37050</v>
      </c>
      <c r="AC66">
        <v>39800</v>
      </c>
      <c r="AD66">
        <v>42550</v>
      </c>
      <c r="AE66">
        <v>45300</v>
      </c>
      <c r="AF66">
        <v>28860</v>
      </c>
      <c r="AG66">
        <v>32940</v>
      </c>
      <c r="AH66">
        <v>37080</v>
      </c>
      <c r="AI66">
        <v>41160</v>
      </c>
      <c r="AJ66">
        <v>44460</v>
      </c>
      <c r="AK66">
        <v>47760</v>
      </c>
      <c r="AL66">
        <v>51060</v>
      </c>
      <c r="AM66">
        <v>54360</v>
      </c>
      <c r="AN66" t="s">
        <v>316</v>
      </c>
      <c r="AO66" t="s">
        <v>316</v>
      </c>
      <c r="AP66" t="s">
        <v>158</v>
      </c>
      <c r="AQ66">
        <v>1</v>
      </c>
      <c r="AR66" t="s">
        <v>102</v>
      </c>
      <c r="AS66" t="s">
        <v>35</v>
      </c>
      <c r="AT66">
        <v>119</v>
      </c>
      <c r="AU66" t="s">
        <v>102</v>
      </c>
    </row>
    <row r="67" spans="2:47" x14ac:dyDescent="0.25">
      <c r="B67" t="str">
        <f t="shared" si="0"/>
        <v>Mitchell County</v>
      </c>
      <c r="C67">
        <v>37</v>
      </c>
      <c r="D67" t="s">
        <v>317</v>
      </c>
      <c r="E67" t="s">
        <v>318</v>
      </c>
      <c r="F67">
        <v>45400</v>
      </c>
      <c r="G67">
        <v>17300</v>
      </c>
      <c r="H67">
        <v>19800</v>
      </c>
      <c r="I67">
        <v>22250</v>
      </c>
      <c r="J67">
        <v>24700</v>
      </c>
      <c r="K67">
        <v>26700</v>
      </c>
      <c r="L67">
        <v>28700</v>
      </c>
      <c r="M67">
        <v>30650</v>
      </c>
      <c r="N67">
        <v>32650</v>
      </c>
      <c r="O67">
        <v>20760</v>
      </c>
      <c r="P67">
        <v>23760</v>
      </c>
      <c r="Q67">
        <v>26700</v>
      </c>
      <c r="R67">
        <v>29640</v>
      </c>
      <c r="S67">
        <v>32040</v>
      </c>
      <c r="T67">
        <v>34440</v>
      </c>
      <c r="U67">
        <v>36780</v>
      </c>
      <c r="V67">
        <v>39180</v>
      </c>
      <c r="W67" t="s">
        <v>156</v>
      </c>
      <c r="X67">
        <v>17900</v>
      </c>
      <c r="Y67">
        <v>20450</v>
      </c>
      <c r="Z67">
        <v>23000</v>
      </c>
      <c r="AA67">
        <v>25550</v>
      </c>
      <c r="AB67">
        <v>27600</v>
      </c>
      <c r="AC67">
        <v>29650</v>
      </c>
      <c r="AD67">
        <v>31700</v>
      </c>
      <c r="AE67">
        <v>33750</v>
      </c>
      <c r="AF67">
        <v>21480</v>
      </c>
      <c r="AG67">
        <v>24540</v>
      </c>
      <c r="AH67">
        <v>27600</v>
      </c>
      <c r="AI67">
        <v>30660</v>
      </c>
      <c r="AJ67">
        <v>33120</v>
      </c>
      <c r="AK67">
        <v>35580</v>
      </c>
      <c r="AL67">
        <v>38040</v>
      </c>
      <c r="AM67">
        <v>40500</v>
      </c>
      <c r="AN67" t="s">
        <v>319</v>
      </c>
      <c r="AO67" t="s">
        <v>319</v>
      </c>
      <c r="AP67" t="s">
        <v>158</v>
      </c>
      <c r="AQ67">
        <v>0</v>
      </c>
      <c r="AR67" t="s">
        <v>103</v>
      </c>
      <c r="AS67" t="s">
        <v>35</v>
      </c>
      <c r="AT67">
        <v>121</v>
      </c>
      <c r="AU67" t="s">
        <v>103</v>
      </c>
    </row>
    <row r="68" spans="2:47" x14ac:dyDescent="0.25">
      <c r="B68" t="str">
        <f t="shared" si="0"/>
        <v>Montgomery County</v>
      </c>
      <c r="C68">
        <v>37</v>
      </c>
      <c r="D68" t="s">
        <v>320</v>
      </c>
      <c r="E68" t="s">
        <v>321</v>
      </c>
      <c r="F68">
        <v>44400</v>
      </c>
      <c r="G68">
        <v>17300</v>
      </c>
      <c r="H68">
        <v>19800</v>
      </c>
      <c r="I68">
        <v>22250</v>
      </c>
      <c r="J68">
        <v>24700</v>
      </c>
      <c r="K68">
        <v>26700</v>
      </c>
      <c r="L68">
        <v>28700</v>
      </c>
      <c r="M68">
        <v>30650</v>
      </c>
      <c r="N68">
        <v>32650</v>
      </c>
      <c r="O68">
        <v>20760</v>
      </c>
      <c r="P68">
        <v>23760</v>
      </c>
      <c r="Q68">
        <v>26700</v>
      </c>
      <c r="R68">
        <v>29640</v>
      </c>
      <c r="S68">
        <v>32040</v>
      </c>
      <c r="T68">
        <v>34440</v>
      </c>
      <c r="U68">
        <v>36780</v>
      </c>
      <c r="V68">
        <v>39180</v>
      </c>
      <c r="W68" t="s">
        <v>156</v>
      </c>
      <c r="X68">
        <v>17750</v>
      </c>
      <c r="Y68">
        <v>20250</v>
      </c>
      <c r="Z68">
        <v>22800</v>
      </c>
      <c r="AA68">
        <v>25300</v>
      </c>
      <c r="AB68">
        <v>27350</v>
      </c>
      <c r="AC68">
        <v>29350</v>
      </c>
      <c r="AD68">
        <v>31400</v>
      </c>
      <c r="AE68">
        <v>33400</v>
      </c>
      <c r="AF68">
        <v>21300</v>
      </c>
      <c r="AG68">
        <v>24300</v>
      </c>
      <c r="AH68">
        <v>27360</v>
      </c>
      <c r="AI68">
        <v>30360</v>
      </c>
      <c r="AJ68">
        <v>32820</v>
      </c>
      <c r="AK68">
        <v>35220</v>
      </c>
      <c r="AL68">
        <v>37680</v>
      </c>
      <c r="AM68">
        <v>40080</v>
      </c>
      <c r="AN68" t="s">
        <v>322</v>
      </c>
      <c r="AO68" t="s">
        <v>322</v>
      </c>
      <c r="AP68" t="s">
        <v>158</v>
      </c>
      <c r="AQ68">
        <v>0</v>
      </c>
      <c r="AR68" t="s">
        <v>104</v>
      </c>
      <c r="AS68" t="s">
        <v>35</v>
      </c>
      <c r="AT68">
        <v>123</v>
      </c>
      <c r="AU68" t="s">
        <v>104</v>
      </c>
    </row>
    <row r="69" spans="2:47" x14ac:dyDescent="0.25">
      <c r="B69" t="str">
        <f t="shared" si="0"/>
        <v>Moore County</v>
      </c>
      <c r="C69">
        <v>37</v>
      </c>
      <c r="D69" t="s">
        <v>323</v>
      </c>
      <c r="E69" t="s">
        <v>324</v>
      </c>
      <c r="F69">
        <v>60100</v>
      </c>
      <c r="G69">
        <v>21200</v>
      </c>
      <c r="H69">
        <v>24200</v>
      </c>
      <c r="I69">
        <v>27250</v>
      </c>
      <c r="J69">
        <v>30250</v>
      </c>
      <c r="K69">
        <v>32700</v>
      </c>
      <c r="L69">
        <v>35100</v>
      </c>
      <c r="M69">
        <v>37550</v>
      </c>
      <c r="N69">
        <v>39950</v>
      </c>
      <c r="O69">
        <v>25440</v>
      </c>
      <c r="P69">
        <v>29040</v>
      </c>
      <c r="Q69">
        <v>32700</v>
      </c>
      <c r="R69">
        <v>36300</v>
      </c>
      <c r="S69">
        <v>39240</v>
      </c>
      <c r="T69">
        <v>42120</v>
      </c>
      <c r="U69">
        <v>45060</v>
      </c>
      <c r="V69">
        <v>47940</v>
      </c>
      <c r="W69" t="s">
        <v>156</v>
      </c>
      <c r="X69">
        <v>22300</v>
      </c>
      <c r="Y69">
        <v>25450</v>
      </c>
      <c r="Z69">
        <v>28650</v>
      </c>
      <c r="AA69">
        <v>31800</v>
      </c>
      <c r="AB69">
        <v>34350</v>
      </c>
      <c r="AC69">
        <v>36900</v>
      </c>
      <c r="AD69">
        <v>39450</v>
      </c>
      <c r="AE69">
        <v>42000</v>
      </c>
      <c r="AF69">
        <v>26760</v>
      </c>
      <c r="AG69">
        <v>30540</v>
      </c>
      <c r="AH69">
        <v>34380</v>
      </c>
      <c r="AI69">
        <v>38160</v>
      </c>
      <c r="AJ69">
        <v>41220</v>
      </c>
      <c r="AK69">
        <v>44280</v>
      </c>
      <c r="AL69">
        <v>47340</v>
      </c>
      <c r="AM69">
        <v>50400</v>
      </c>
      <c r="AN69" t="s">
        <v>325</v>
      </c>
      <c r="AO69" t="s">
        <v>325</v>
      </c>
      <c r="AP69" t="s">
        <v>158</v>
      </c>
      <c r="AQ69">
        <v>0</v>
      </c>
      <c r="AR69" t="s">
        <v>105</v>
      </c>
      <c r="AS69" t="s">
        <v>35</v>
      </c>
      <c r="AT69">
        <v>125</v>
      </c>
      <c r="AU69" t="s">
        <v>105</v>
      </c>
    </row>
    <row r="70" spans="2:47" x14ac:dyDescent="0.25">
      <c r="B70" t="str">
        <f t="shared" si="0"/>
        <v>Nash County</v>
      </c>
      <c r="C70">
        <v>37</v>
      </c>
      <c r="D70" t="s">
        <v>245</v>
      </c>
      <c r="E70" t="s">
        <v>246</v>
      </c>
      <c r="F70">
        <v>49600</v>
      </c>
      <c r="G70">
        <v>17550</v>
      </c>
      <c r="H70">
        <v>20050</v>
      </c>
      <c r="I70">
        <v>22550</v>
      </c>
      <c r="J70">
        <v>25050</v>
      </c>
      <c r="K70">
        <v>27100</v>
      </c>
      <c r="L70">
        <v>29100</v>
      </c>
      <c r="M70">
        <v>31100</v>
      </c>
      <c r="N70">
        <v>33100</v>
      </c>
      <c r="O70">
        <v>21060</v>
      </c>
      <c r="P70">
        <v>24060</v>
      </c>
      <c r="Q70">
        <v>27060</v>
      </c>
      <c r="R70">
        <v>30060</v>
      </c>
      <c r="S70">
        <v>32520</v>
      </c>
      <c r="T70">
        <v>34920</v>
      </c>
      <c r="U70">
        <v>37320</v>
      </c>
      <c r="V70">
        <v>39720</v>
      </c>
      <c r="W70" t="s">
        <v>156</v>
      </c>
      <c r="X70">
        <v>19850</v>
      </c>
      <c r="Y70">
        <v>22650</v>
      </c>
      <c r="Z70">
        <v>25500</v>
      </c>
      <c r="AA70">
        <v>28300</v>
      </c>
      <c r="AB70">
        <v>30600</v>
      </c>
      <c r="AC70">
        <v>32850</v>
      </c>
      <c r="AD70">
        <v>35100</v>
      </c>
      <c r="AE70">
        <v>37400</v>
      </c>
      <c r="AF70">
        <v>23820</v>
      </c>
      <c r="AG70">
        <v>27180</v>
      </c>
      <c r="AH70">
        <v>30600</v>
      </c>
      <c r="AI70">
        <v>33960</v>
      </c>
      <c r="AJ70">
        <v>36720</v>
      </c>
      <c r="AK70">
        <v>39420</v>
      </c>
      <c r="AL70">
        <v>42120</v>
      </c>
      <c r="AM70">
        <v>44880</v>
      </c>
      <c r="AN70" t="s">
        <v>326</v>
      </c>
      <c r="AO70" t="s">
        <v>326</v>
      </c>
      <c r="AP70" t="s">
        <v>158</v>
      </c>
      <c r="AQ70">
        <v>1</v>
      </c>
      <c r="AR70" t="s">
        <v>106</v>
      </c>
      <c r="AS70" t="s">
        <v>35</v>
      </c>
      <c r="AT70">
        <v>127</v>
      </c>
      <c r="AU70" t="s">
        <v>106</v>
      </c>
    </row>
    <row r="71" spans="2:47" x14ac:dyDescent="0.25">
      <c r="B71" t="str">
        <f t="shared" si="0"/>
        <v>New Hanover County</v>
      </c>
      <c r="C71">
        <v>37</v>
      </c>
      <c r="D71" t="s">
        <v>183</v>
      </c>
      <c r="E71" t="s">
        <v>184</v>
      </c>
      <c r="F71">
        <v>58700</v>
      </c>
      <c r="G71">
        <v>20900</v>
      </c>
      <c r="H71">
        <v>23850</v>
      </c>
      <c r="I71">
        <v>26850</v>
      </c>
      <c r="J71">
        <v>29800</v>
      </c>
      <c r="K71">
        <v>32200</v>
      </c>
      <c r="L71">
        <v>34600</v>
      </c>
      <c r="M71">
        <v>37000</v>
      </c>
      <c r="N71">
        <v>39350</v>
      </c>
      <c r="O71">
        <v>25080</v>
      </c>
      <c r="P71">
        <v>28620</v>
      </c>
      <c r="Q71">
        <v>32220</v>
      </c>
      <c r="R71">
        <v>35760</v>
      </c>
      <c r="S71">
        <v>38640</v>
      </c>
      <c r="T71">
        <v>41520</v>
      </c>
      <c r="U71">
        <v>44400</v>
      </c>
      <c r="V71">
        <v>47220</v>
      </c>
      <c r="W71" t="s">
        <v>156</v>
      </c>
      <c r="X71">
        <v>21950</v>
      </c>
      <c r="Y71">
        <v>25100</v>
      </c>
      <c r="Z71">
        <v>28250</v>
      </c>
      <c r="AA71">
        <v>31350</v>
      </c>
      <c r="AB71">
        <v>33900</v>
      </c>
      <c r="AC71">
        <v>36400</v>
      </c>
      <c r="AD71">
        <v>38900</v>
      </c>
      <c r="AE71">
        <v>41400</v>
      </c>
      <c r="AF71">
        <v>26340</v>
      </c>
      <c r="AG71">
        <v>30120</v>
      </c>
      <c r="AH71">
        <v>33900</v>
      </c>
      <c r="AI71">
        <v>37620</v>
      </c>
      <c r="AJ71">
        <v>40680</v>
      </c>
      <c r="AK71">
        <v>43680</v>
      </c>
      <c r="AL71">
        <v>46680</v>
      </c>
      <c r="AM71">
        <v>49680</v>
      </c>
      <c r="AN71" t="s">
        <v>327</v>
      </c>
      <c r="AO71" t="s">
        <v>327</v>
      </c>
      <c r="AP71" t="s">
        <v>158</v>
      </c>
      <c r="AQ71">
        <v>1</v>
      </c>
      <c r="AR71" t="s">
        <v>107</v>
      </c>
      <c r="AS71" t="s">
        <v>35</v>
      </c>
      <c r="AT71">
        <v>129</v>
      </c>
      <c r="AU71" t="s">
        <v>107</v>
      </c>
    </row>
    <row r="72" spans="2:47" x14ac:dyDescent="0.25">
      <c r="B72" t="str">
        <f t="shared" ref="B72:B106" si="1">AU72</f>
        <v>Northampton County</v>
      </c>
      <c r="C72">
        <v>37</v>
      </c>
      <c r="D72" t="s">
        <v>328</v>
      </c>
      <c r="E72" t="s">
        <v>329</v>
      </c>
      <c r="F72">
        <v>40300</v>
      </c>
      <c r="G72">
        <v>17300</v>
      </c>
      <c r="H72">
        <v>19800</v>
      </c>
      <c r="I72">
        <v>22250</v>
      </c>
      <c r="J72">
        <v>24700</v>
      </c>
      <c r="K72">
        <v>26700</v>
      </c>
      <c r="L72">
        <v>28700</v>
      </c>
      <c r="M72">
        <v>30650</v>
      </c>
      <c r="N72">
        <v>32650</v>
      </c>
      <c r="O72">
        <v>20760</v>
      </c>
      <c r="P72">
        <v>23760</v>
      </c>
      <c r="Q72">
        <v>26700</v>
      </c>
      <c r="R72">
        <v>29640</v>
      </c>
      <c r="S72">
        <v>32040</v>
      </c>
      <c r="T72">
        <v>34440</v>
      </c>
      <c r="U72">
        <v>36780</v>
      </c>
      <c r="V72">
        <v>39180</v>
      </c>
      <c r="W72" t="s">
        <v>156</v>
      </c>
      <c r="X72">
        <v>18000</v>
      </c>
      <c r="Y72">
        <v>20550</v>
      </c>
      <c r="Z72">
        <v>23100</v>
      </c>
      <c r="AA72">
        <v>25650</v>
      </c>
      <c r="AB72">
        <v>27750</v>
      </c>
      <c r="AC72">
        <v>29800</v>
      </c>
      <c r="AD72">
        <v>31850</v>
      </c>
      <c r="AE72">
        <v>33900</v>
      </c>
      <c r="AF72">
        <v>21600</v>
      </c>
      <c r="AG72">
        <v>24660</v>
      </c>
      <c r="AH72">
        <v>27720</v>
      </c>
      <c r="AI72">
        <v>30780</v>
      </c>
      <c r="AJ72">
        <v>33300</v>
      </c>
      <c r="AK72">
        <v>35760</v>
      </c>
      <c r="AL72">
        <v>38220</v>
      </c>
      <c r="AM72">
        <v>40680</v>
      </c>
      <c r="AN72" t="s">
        <v>330</v>
      </c>
      <c r="AO72" t="s">
        <v>330</v>
      </c>
      <c r="AP72" t="s">
        <v>158</v>
      </c>
      <c r="AQ72">
        <v>0</v>
      </c>
      <c r="AR72" t="s">
        <v>108</v>
      </c>
      <c r="AS72" t="s">
        <v>35</v>
      </c>
      <c r="AT72">
        <v>131</v>
      </c>
      <c r="AU72" t="s">
        <v>108</v>
      </c>
    </row>
    <row r="73" spans="2:47" x14ac:dyDescent="0.25">
      <c r="B73" t="str">
        <f t="shared" si="1"/>
        <v>Onslow County</v>
      </c>
      <c r="C73">
        <v>37</v>
      </c>
      <c r="D73" t="s">
        <v>331</v>
      </c>
      <c r="E73" t="s">
        <v>332</v>
      </c>
      <c r="F73">
        <v>53200</v>
      </c>
      <c r="G73">
        <v>17950</v>
      </c>
      <c r="H73">
        <v>20500</v>
      </c>
      <c r="I73">
        <v>23050</v>
      </c>
      <c r="J73">
        <v>25600</v>
      </c>
      <c r="K73">
        <v>27650</v>
      </c>
      <c r="L73">
        <v>29700</v>
      </c>
      <c r="M73">
        <v>31750</v>
      </c>
      <c r="N73">
        <v>33800</v>
      </c>
      <c r="O73">
        <v>21540</v>
      </c>
      <c r="P73">
        <v>24600</v>
      </c>
      <c r="Q73">
        <v>27660</v>
      </c>
      <c r="R73">
        <v>30720</v>
      </c>
      <c r="S73">
        <v>33180</v>
      </c>
      <c r="T73">
        <v>35640</v>
      </c>
      <c r="U73">
        <v>38100</v>
      </c>
      <c r="V73">
        <v>40560</v>
      </c>
      <c r="W73" t="s">
        <v>156</v>
      </c>
      <c r="X73">
        <v>19300</v>
      </c>
      <c r="Y73">
        <v>22050</v>
      </c>
      <c r="Z73">
        <v>24800</v>
      </c>
      <c r="AA73">
        <v>27550</v>
      </c>
      <c r="AB73">
        <v>29800</v>
      </c>
      <c r="AC73">
        <v>32000</v>
      </c>
      <c r="AD73">
        <v>34200</v>
      </c>
      <c r="AE73">
        <v>36400</v>
      </c>
      <c r="AF73">
        <v>23160</v>
      </c>
      <c r="AG73">
        <v>26460</v>
      </c>
      <c r="AH73">
        <v>29760</v>
      </c>
      <c r="AI73">
        <v>33060</v>
      </c>
      <c r="AJ73">
        <v>35760</v>
      </c>
      <c r="AK73">
        <v>38400</v>
      </c>
      <c r="AL73">
        <v>41040</v>
      </c>
      <c r="AM73">
        <v>43680</v>
      </c>
      <c r="AN73" t="s">
        <v>333</v>
      </c>
      <c r="AO73" t="s">
        <v>333</v>
      </c>
      <c r="AP73" t="s">
        <v>158</v>
      </c>
      <c r="AQ73">
        <v>1</v>
      </c>
      <c r="AR73" t="s">
        <v>109</v>
      </c>
      <c r="AS73" t="s">
        <v>35</v>
      </c>
      <c r="AT73">
        <v>133</v>
      </c>
      <c r="AU73" t="s">
        <v>109</v>
      </c>
    </row>
    <row r="74" spans="2:47" x14ac:dyDescent="0.25">
      <c r="B74" t="str">
        <f t="shared" si="1"/>
        <v>Orange County</v>
      </c>
      <c r="C74">
        <v>37</v>
      </c>
      <c r="D74" t="s">
        <v>205</v>
      </c>
      <c r="E74" t="s">
        <v>206</v>
      </c>
      <c r="F74">
        <v>65700</v>
      </c>
      <c r="G74">
        <v>23000</v>
      </c>
      <c r="H74">
        <v>26300</v>
      </c>
      <c r="I74">
        <v>29600</v>
      </c>
      <c r="J74">
        <v>32850</v>
      </c>
      <c r="K74">
        <v>35500</v>
      </c>
      <c r="L74">
        <v>38150</v>
      </c>
      <c r="M74">
        <v>40750</v>
      </c>
      <c r="N74">
        <v>43400</v>
      </c>
      <c r="O74">
        <v>27600</v>
      </c>
      <c r="P74">
        <v>31560</v>
      </c>
      <c r="Q74">
        <v>35520</v>
      </c>
      <c r="R74">
        <v>39420</v>
      </c>
      <c r="S74">
        <v>42600</v>
      </c>
      <c r="T74">
        <v>45780</v>
      </c>
      <c r="U74">
        <v>48900</v>
      </c>
      <c r="V74">
        <v>52080</v>
      </c>
      <c r="W74" t="s">
        <v>156</v>
      </c>
      <c r="X74">
        <v>27650</v>
      </c>
      <c r="Y74">
        <v>31600</v>
      </c>
      <c r="Z74">
        <v>35550</v>
      </c>
      <c r="AA74">
        <v>39450</v>
      </c>
      <c r="AB74">
        <v>42650</v>
      </c>
      <c r="AC74">
        <v>45800</v>
      </c>
      <c r="AD74">
        <v>48950</v>
      </c>
      <c r="AE74">
        <v>52100</v>
      </c>
      <c r="AF74">
        <v>33180</v>
      </c>
      <c r="AG74">
        <v>37920</v>
      </c>
      <c r="AH74">
        <v>42660</v>
      </c>
      <c r="AI74">
        <v>47340</v>
      </c>
      <c r="AJ74">
        <v>51180</v>
      </c>
      <c r="AK74">
        <v>54960</v>
      </c>
      <c r="AL74">
        <v>58740</v>
      </c>
      <c r="AM74">
        <v>62520</v>
      </c>
      <c r="AN74" t="s">
        <v>334</v>
      </c>
      <c r="AO74" t="s">
        <v>334</v>
      </c>
      <c r="AP74" t="s">
        <v>158</v>
      </c>
      <c r="AQ74">
        <v>1</v>
      </c>
      <c r="AR74" t="s">
        <v>110</v>
      </c>
      <c r="AS74" t="s">
        <v>35</v>
      </c>
      <c r="AT74">
        <v>135</v>
      </c>
      <c r="AU74" t="s">
        <v>110</v>
      </c>
    </row>
    <row r="75" spans="2:47" x14ac:dyDescent="0.25">
      <c r="B75" t="str">
        <f t="shared" si="1"/>
        <v>Pamlico County</v>
      </c>
      <c r="C75">
        <v>37</v>
      </c>
      <c r="D75" t="s">
        <v>335</v>
      </c>
      <c r="E75" t="s">
        <v>336</v>
      </c>
      <c r="F75">
        <v>56500</v>
      </c>
      <c r="G75">
        <v>19400</v>
      </c>
      <c r="H75">
        <v>22150</v>
      </c>
      <c r="I75">
        <v>24900</v>
      </c>
      <c r="J75">
        <v>27650</v>
      </c>
      <c r="K75">
        <v>29900</v>
      </c>
      <c r="L75">
        <v>32100</v>
      </c>
      <c r="M75">
        <v>34300</v>
      </c>
      <c r="N75">
        <v>36500</v>
      </c>
      <c r="O75">
        <v>23280</v>
      </c>
      <c r="P75">
        <v>26580</v>
      </c>
      <c r="Q75">
        <v>29880</v>
      </c>
      <c r="R75">
        <v>33180</v>
      </c>
      <c r="S75">
        <v>35880</v>
      </c>
      <c r="T75">
        <v>38520</v>
      </c>
      <c r="U75">
        <v>41160</v>
      </c>
      <c r="V75">
        <v>43800</v>
      </c>
      <c r="W75" t="s">
        <v>156</v>
      </c>
      <c r="X75">
        <v>19800</v>
      </c>
      <c r="Y75">
        <v>22600</v>
      </c>
      <c r="Z75">
        <v>25450</v>
      </c>
      <c r="AA75">
        <v>28250</v>
      </c>
      <c r="AB75">
        <v>30550</v>
      </c>
      <c r="AC75">
        <v>32800</v>
      </c>
      <c r="AD75">
        <v>35050</v>
      </c>
      <c r="AE75">
        <v>37300</v>
      </c>
      <c r="AF75">
        <v>23760</v>
      </c>
      <c r="AG75">
        <v>27120</v>
      </c>
      <c r="AH75">
        <v>30540</v>
      </c>
      <c r="AI75">
        <v>33900</v>
      </c>
      <c r="AJ75">
        <v>36660</v>
      </c>
      <c r="AK75">
        <v>39360</v>
      </c>
      <c r="AL75">
        <v>42060</v>
      </c>
      <c r="AM75">
        <v>44760</v>
      </c>
      <c r="AN75" t="s">
        <v>337</v>
      </c>
      <c r="AO75" t="s">
        <v>337</v>
      </c>
      <c r="AP75" t="s">
        <v>158</v>
      </c>
      <c r="AQ75">
        <v>0</v>
      </c>
      <c r="AR75" t="s">
        <v>111</v>
      </c>
      <c r="AS75" t="s">
        <v>35</v>
      </c>
      <c r="AT75">
        <v>137</v>
      </c>
      <c r="AU75" t="s">
        <v>111</v>
      </c>
    </row>
    <row r="76" spans="2:47" x14ac:dyDescent="0.25">
      <c r="B76" t="str">
        <f t="shared" si="1"/>
        <v>Pasquotank County</v>
      </c>
      <c r="C76">
        <v>37</v>
      </c>
      <c r="D76" t="s">
        <v>338</v>
      </c>
      <c r="E76" t="s">
        <v>339</v>
      </c>
      <c r="F76">
        <v>59300</v>
      </c>
      <c r="G76">
        <v>20800</v>
      </c>
      <c r="H76">
        <v>23750</v>
      </c>
      <c r="I76">
        <v>26700</v>
      </c>
      <c r="J76">
        <v>29650</v>
      </c>
      <c r="K76">
        <v>32050</v>
      </c>
      <c r="L76">
        <v>34400</v>
      </c>
      <c r="M76">
        <v>36800</v>
      </c>
      <c r="N76">
        <v>39150</v>
      </c>
      <c r="O76">
        <v>24960</v>
      </c>
      <c r="P76">
        <v>28500</v>
      </c>
      <c r="Q76">
        <v>32040</v>
      </c>
      <c r="R76">
        <v>35580</v>
      </c>
      <c r="S76">
        <v>38460</v>
      </c>
      <c r="T76">
        <v>41280</v>
      </c>
      <c r="U76">
        <v>44160</v>
      </c>
      <c r="V76">
        <v>46980</v>
      </c>
      <c r="W76" t="s">
        <v>156</v>
      </c>
      <c r="X76">
        <v>23100</v>
      </c>
      <c r="Y76">
        <v>26400</v>
      </c>
      <c r="Z76">
        <v>29700</v>
      </c>
      <c r="AA76">
        <v>32950</v>
      </c>
      <c r="AB76">
        <v>35600</v>
      </c>
      <c r="AC76">
        <v>38250</v>
      </c>
      <c r="AD76">
        <v>40900</v>
      </c>
      <c r="AE76">
        <v>43500</v>
      </c>
      <c r="AF76">
        <v>27720</v>
      </c>
      <c r="AG76">
        <v>31680</v>
      </c>
      <c r="AH76">
        <v>35640</v>
      </c>
      <c r="AI76">
        <v>39540</v>
      </c>
      <c r="AJ76">
        <v>42720</v>
      </c>
      <c r="AK76">
        <v>45900</v>
      </c>
      <c r="AL76">
        <v>49080</v>
      </c>
      <c r="AM76">
        <v>52200</v>
      </c>
      <c r="AN76" t="s">
        <v>340</v>
      </c>
      <c r="AO76" t="s">
        <v>340</v>
      </c>
      <c r="AP76" t="s">
        <v>158</v>
      </c>
      <c r="AQ76">
        <v>0</v>
      </c>
      <c r="AR76" t="s">
        <v>112</v>
      </c>
      <c r="AS76" t="s">
        <v>35</v>
      </c>
      <c r="AT76">
        <v>139</v>
      </c>
      <c r="AU76" t="s">
        <v>112</v>
      </c>
    </row>
    <row r="77" spans="2:47" x14ac:dyDescent="0.25">
      <c r="B77" t="str">
        <f t="shared" si="1"/>
        <v>Pender County</v>
      </c>
      <c r="C77">
        <v>37</v>
      </c>
      <c r="D77" t="s">
        <v>341</v>
      </c>
      <c r="E77" t="s">
        <v>342</v>
      </c>
      <c r="F77">
        <v>56700</v>
      </c>
      <c r="G77">
        <v>19850</v>
      </c>
      <c r="H77">
        <v>22700</v>
      </c>
      <c r="I77">
        <v>25550</v>
      </c>
      <c r="J77">
        <v>28350</v>
      </c>
      <c r="K77">
        <v>30650</v>
      </c>
      <c r="L77">
        <v>32900</v>
      </c>
      <c r="M77">
        <v>35200</v>
      </c>
      <c r="N77">
        <v>37450</v>
      </c>
      <c r="O77">
        <v>23820</v>
      </c>
      <c r="P77">
        <v>27240</v>
      </c>
      <c r="Q77">
        <v>30660</v>
      </c>
      <c r="R77">
        <v>34020</v>
      </c>
      <c r="S77">
        <v>36780</v>
      </c>
      <c r="T77">
        <v>39480</v>
      </c>
      <c r="U77">
        <v>42240</v>
      </c>
      <c r="V77">
        <v>44940</v>
      </c>
      <c r="W77" t="s">
        <v>156</v>
      </c>
      <c r="X77">
        <v>20150</v>
      </c>
      <c r="Y77">
        <v>23000</v>
      </c>
      <c r="Z77">
        <v>25900</v>
      </c>
      <c r="AA77">
        <v>28750</v>
      </c>
      <c r="AB77">
        <v>31050</v>
      </c>
      <c r="AC77">
        <v>33350</v>
      </c>
      <c r="AD77">
        <v>35650</v>
      </c>
      <c r="AE77">
        <v>37950</v>
      </c>
      <c r="AF77">
        <v>24180</v>
      </c>
      <c r="AG77">
        <v>27600</v>
      </c>
      <c r="AH77">
        <v>31080</v>
      </c>
      <c r="AI77">
        <v>34500</v>
      </c>
      <c r="AJ77">
        <v>37260</v>
      </c>
      <c r="AK77">
        <v>40020</v>
      </c>
      <c r="AL77">
        <v>42780</v>
      </c>
      <c r="AM77">
        <v>45540</v>
      </c>
      <c r="AN77" t="s">
        <v>343</v>
      </c>
      <c r="AO77" t="s">
        <v>343</v>
      </c>
      <c r="AP77" t="s">
        <v>158</v>
      </c>
      <c r="AQ77">
        <v>1</v>
      </c>
      <c r="AR77" t="s">
        <v>113</v>
      </c>
      <c r="AS77" t="s">
        <v>35</v>
      </c>
      <c r="AT77">
        <v>141</v>
      </c>
      <c r="AU77" t="s">
        <v>113</v>
      </c>
    </row>
    <row r="78" spans="2:47" x14ac:dyDescent="0.25">
      <c r="B78" t="str">
        <f t="shared" si="1"/>
        <v>Perquimans County</v>
      </c>
      <c r="C78">
        <v>37</v>
      </c>
      <c r="D78" t="s">
        <v>344</v>
      </c>
      <c r="E78" t="s">
        <v>345</v>
      </c>
      <c r="F78">
        <v>51300</v>
      </c>
      <c r="G78">
        <v>18000</v>
      </c>
      <c r="H78">
        <v>20550</v>
      </c>
      <c r="I78">
        <v>23100</v>
      </c>
      <c r="J78">
        <v>25650</v>
      </c>
      <c r="K78">
        <v>27750</v>
      </c>
      <c r="L78">
        <v>29800</v>
      </c>
      <c r="M78">
        <v>31850</v>
      </c>
      <c r="N78">
        <v>33900</v>
      </c>
      <c r="O78">
        <v>21600</v>
      </c>
      <c r="P78">
        <v>24660</v>
      </c>
      <c r="Q78">
        <v>27720</v>
      </c>
      <c r="R78">
        <v>30780</v>
      </c>
      <c r="S78">
        <v>33300</v>
      </c>
      <c r="T78">
        <v>35760</v>
      </c>
      <c r="U78">
        <v>38220</v>
      </c>
      <c r="V78">
        <v>40680</v>
      </c>
      <c r="W78" t="s">
        <v>156</v>
      </c>
      <c r="X78">
        <v>20900</v>
      </c>
      <c r="Y78">
        <v>23850</v>
      </c>
      <c r="Z78">
        <v>26850</v>
      </c>
      <c r="AA78">
        <v>29800</v>
      </c>
      <c r="AB78">
        <v>32200</v>
      </c>
      <c r="AC78">
        <v>34600</v>
      </c>
      <c r="AD78">
        <v>37000</v>
      </c>
      <c r="AE78">
        <v>39350</v>
      </c>
      <c r="AF78">
        <v>25080</v>
      </c>
      <c r="AG78">
        <v>28620</v>
      </c>
      <c r="AH78">
        <v>32220</v>
      </c>
      <c r="AI78">
        <v>35760</v>
      </c>
      <c r="AJ78">
        <v>38640</v>
      </c>
      <c r="AK78">
        <v>41520</v>
      </c>
      <c r="AL78">
        <v>44400</v>
      </c>
      <c r="AM78">
        <v>47220</v>
      </c>
      <c r="AN78" t="s">
        <v>346</v>
      </c>
      <c r="AO78" t="s">
        <v>346</v>
      </c>
      <c r="AP78" t="s">
        <v>158</v>
      </c>
      <c r="AQ78">
        <v>0</v>
      </c>
      <c r="AR78" t="s">
        <v>114</v>
      </c>
      <c r="AS78" t="s">
        <v>35</v>
      </c>
      <c r="AT78">
        <v>143</v>
      </c>
      <c r="AU78" t="s">
        <v>114</v>
      </c>
    </row>
    <row r="79" spans="2:47" x14ac:dyDescent="0.25">
      <c r="B79" t="str">
        <f t="shared" si="1"/>
        <v>Person County</v>
      </c>
      <c r="C79">
        <v>37</v>
      </c>
      <c r="D79" t="s">
        <v>347</v>
      </c>
      <c r="E79" t="s">
        <v>348</v>
      </c>
      <c r="F79">
        <v>54600</v>
      </c>
      <c r="G79">
        <v>19400</v>
      </c>
      <c r="H79">
        <v>22150</v>
      </c>
      <c r="I79">
        <v>24900</v>
      </c>
      <c r="J79">
        <v>27650</v>
      </c>
      <c r="K79">
        <v>29900</v>
      </c>
      <c r="L79">
        <v>32100</v>
      </c>
      <c r="M79">
        <v>34300</v>
      </c>
      <c r="N79">
        <v>36500</v>
      </c>
      <c r="O79">
        <v>23280</v>
      </c>
      <c r="P79">
        <v>26580</v>
      </c>
      <c r="Q79">
        <v>29880</v>
      </c>
      <c r="R79">
        <v>33180</v>
      </c>
      <c r="S79">
        <v>35880</v>
      </c>
      <c r="T79">
        <v>38520</v>
      </c>
      <c r="U79">
        <v>41160</v>
      </c>
      <c r="V79">
        <v>43800</v>
      </c>
      <c r="W79" t="s">
        <v>156</v>
      </c>
      <c r="X79">
        <v>20400</v>
      </c>
      <c r="Y79">
        <v>23300</v>
      </c>
      <c r="Z79">
        <v>26200</v>
      </c>
      <c r="AA79">
        <v>29100</v>
      </c>
      <c r="AB79">
        <v>31450</v>
      </c>
      <c r="AC79">
        <v>33800</v>
      </c>
      <c r="AD79">
        <v>36100</v>
      </c>
      <c r="AE79">
        <v>38450</v>
      </c>
      <c r="AF79">
        <v>24480</v>
      </c>
      <c r="AG79">
        <v>27960</v>
      </c>
      <c r="AH79">
        <v>31440</v>
      </c>
      <c r="AI79">
        <v>34920</v>
      </c>
      <c r="AJ79">
        <v>37740</v>
      </c>
      <c r="AK79">
        <v>40560</v>
      </c>
      <c r="AL79">
        <v>43320</v>
      </c>
      <c r="AM79">
        <v>46140</v>
      </c>
      <c r="AN79" t="s">
        <v>349</v>
      </c>
      <c r="AO79" t="s">
        <v>349</v>
      </c>
      <c r="AP79" t="s">
        <v>158</v>
      </c>
      <c r="AQ79">
        <v>1</v>
      </c>
      <c r="AR79" t="s">
        <v>115</v>
      </c>
      <c r="AS79" t="s">
        <v>35</v>
      </c>
      <c r="AT79">
        <v>145</v>
      </c>
      <c r="AU79" t="s">
        <v>115</v>
      </c>
    </row>
    <row r="80" spans="2:47" x14ac:dyDescent="0.25">
      <c r="B80" t="str">
        <f t="shared" si="1"/>
        <v>Pitt County</v>
      </c>
      <c r="C80">
        <v>37</v>
      </c>
      <c r="D80" t="s">
        <v>350</v>
      </c>
      <c r="E80" t="s">
        <v>351</v>
      </c>
      <c r="F80">
        <v>55200</v>
      </c>
      <c r="G80">
        <v>19350</v>
      </c>
      <c r="H80">
        <v>22100</v>
      </c>
      <c r="I80">
        <v>24850</v>
      </c>
      <c r="J80">
        <v>27600</v>
      </c>
      <c r="K80">
        <v>29850</v>
      </c>
      <c r="L80">
        <v>32050</v>
      </c>
      <c r="M80">
        <v>34250</v>
      </c>
      <c r="N80">
        <v>36450</v>
      </c>
      <c r="O80">
        <v>23220</v>
      </c>
      <c r="P80">
        <v>26520</v>
      </c>
      <c r="Q80">
        <v>29820</v>
      </c>
      <c r="R80">
        <v>33120</v>
      </c>
      <c r="S80">
        <v>35820</v>
      </c>
      <c r="T80">
        <v>38460</v>
      </c>
      <c r="U80">
        <v>41100</v>
      </c>
      <c r="V80">
        <v>43740</v>
      </c>
      <c r="W80" t="s">
        <v>156</v>
      </c>
      <c r="X80">
        <v>20200</v>
      </c>
      <c r="Y80">
        <v>23050</v>
      </c>
      <c r="Z80">
        <v>25950</v>
      </c>
      <c r="AA80">
        <v>28800</v>
      </c>
      <c r="AB80">
        <v>31150</v>
      </c>
      <c r="AC80">
        <v>33450</v>
      </c>
      <c r="AD80">
        <v>35750</v>
      </c>
      <c r="AE80">
        <v>38050</v>
      </c>
      <c r="AF80">
        <v>24240</v>
      </c>
      <c r="AG80">
        <v>27660</v>
      </c>
      <c r="AH80">
        <v>31140</v>
      </c>
      <c r="AI80">
        <v>34560</v>
      </c>
      <c r="AJ80">
        <v>37380</v>
      </c>
      <c r="AK80">
        <v>40140</v>
      </c>
      <c r="AL80">
        <v>42900</v>
      </c>
      <c r="AM80">
        <v>45660</v>
      </c>
      <c r="AN80" t="s">
        <v>352</v>
      </c>
      <c r="AO80" t="s">
        <v>352</v>
      </c>
      <c r="AP80" t="s">
        <v>158</v>
      </c>
      <c r="AQ80">
        <v>1</v>
      </c>
      <c r="AR80" t="s">
        <v>116</v>
      </c>
      <c r="AS80" t="s">
        <v>35</v>
      </c>
      <c r="AT80">
        <v>147</v>
      </c>
      <c r="AU80" t="s">
        <v>116</v>
      </c>
    </row>
    <row r="81" spans="2:47" x14ac:dyDescent="0.25">
      <c r="B81" t="str">
        <f t="shared" si="1"/>
        <v>Polk County</v>
      </c>
      <c r="C81">
        <v>37</v>
      </c>
      <c r="D81" t="s">
        <v>353</v>
      </c>
      <c r="E81" t="s">
        <v>354</v>
      </c>
      <c r="F81">
        <v>55900</v>
      </c>
      <c r="G81">
        <v>19550</v>
      </c>
      <c r="H81">
        <v>22350</v>
      </c>
      <c r="I81">
        <v>25150</v>
      </c>
      <c r="J81">
        <v>27900</v>
      </c>
      <c r="K81">
        <v>30150</v>
      </c>
      <c r="L81">
        <v>32400</v>
      </c>
      <c r="M81">
        <v>34600</v>
      </c>
      <c r="N81">
        <v>36850</v>
      </c>
      <c r="O81">
        <v>23460</v>
      </c>
      <c r="P81">
        <v>26820</v>
      </c>
      <c r="Q81">
        <v>30180</v>
      </c>
      <c r="R81">
        <v>33480</v>
      </c>
      <c r="S81">
        <v>36180</v>
      </c>
      <c r="T81">
        <v>38880</v>
      </c>
      <c r="U81">
        <v>41520</v>
      </c>
      <c r="V81">
        <v>44220</v>
      </c>
      <c r="W81" t="s">
        <v>156</v>
      </c>
      <c r="X81">
        <v>21050</v>
      </c>
      <c r="Y81">
        <v>24050</v>
      </c>
      <c r="Z81">
        <v>27050</v>
      </c>
      <c r="AA81">
        <v>30050</v>
      </c>
      <c r="AB81">
        <v>32500</v>
      </c>
      <c r="AC81">
        <v>34900</v>
      </c>
      <c r="AD81">
        <v>37300</v>
      </c>
      <c r="AE81">
        <v>39700</v>
      </c>
      <c r="AF81">
        <v>25260</v>
      </c>
      <c r="AG81">
        <v>28860</v>
      </c>
      <c r="AH81">
        <v>32460</v>
      </c>
      <c r="AI81">
        <v>36060</v>
      </c>
      <c r="AJ81">
        <v>39000</v>
      </c>
      <c r="AK81">
        <v>41880</v>
      </c>
      <c r="AL81">
        <v>44760</v>
      </c>
      <c r="AM81">
        <v>47640</v>
      </c>
      <c r="AN81" t="s">
        <v>355</v>
      </c>
      <c r="AO81" t="s">
        <v>355</v>
      </c>
      <c r="AP81" t="s">
        <v>158</v>
      </c>
      <c r="AQ81">
        <v>0</v>
      </c>
      <c r="AR81" t="s">
        <v>117</v>
      </c>
      <c r="AS81" t="s">
        <v>35</v>
      </c>
      <c r="AT81">
        <v>149</v>
      </c>
      <c r="AU81" t="s">
        <v>117</v>
      </c>
    </row>
    <row r="82" spans="2:47" x14ac:dyDescent="0.25">
      <c r="B82" t="str">
        <f t="shared" si="1"/>
        <v>Randolph County</v>
      </c>
      <c r="C82">
        <v>37</v>
      </c>
      <c r="D82" t="s">
        <v>265</v>
      </c>
      <c r="E82" t="s">
        <v>266</v>
      </c>
      <c r="F82">
        <v>55100</v>
      </c>
      <c r="G82">
        <v>19300</v>
      </c>
      <c r="H82">
        <v>22050</v>
      </c>
      <c r="I82">
        <v>24800</v>
      </c>
      <c r="J82">
        <v>27550</v>
      </c>
      <c r="K82">
        <v>29800</v>
      </c>
      <c r="L82">
        <v>32000</v>
      </c>
      <c r="M82">
        <v>34200</v>
      </c>
      <c r="N82">
        <v>36400</v>
      </c>
      <c r="O82">
        <v>23160</v>
      </c>
      <c r="P82">
        <v>26460</v>
      </c>
      <c r="Q82">
        <v>29760</v>
      </c>
      <c r="R82">
        <v>33060</v>
      </c>
      <c r="S82">
        <v>35760</v>
      </c>
      <c r="T82">
        <v>38400</v>
      </c>
      <c r="U82">
        <v>41040</v>
      </c>
      <c r="V82">
        <v>43680</v>
      </c>
      <c r="W82" t="s">
        <v>156</v>
      </c>
      <c r="X82">
        <v>20600</v>
      </c>
      <c r="Y82">
        <v>23550</v>
      </c>
      <c r="Z82">
        <v>26500</v>
      </c>
      <c r="AA82">
        <v>29400</v>
      </c>
      <c r="AB82">
        <v>31800</v>
      </c>
      <c r="AC82">
        <v>34150</v>
      </c>
      <c r="AD82">
        <v>36500</v>
      </c>
      <c r="AE82">
        <v>38850</v>
      </c>
      <c r="AF82">
        <v>24720</v>
      </c>
      <c r="AG82">
        <v>28260</v>
      </c>
      <c r="AH82">
        <v>31800</v>
      </c>
      <c r="AI82">
        <v>35280</v>
      </c>
      <c r="AJ82">
        <v>38160</v>
      </c>
      <c r="AK82">
        <v>40980</v>
      </c>
      <c r="AL82">
        <v>43800</v>
      </c>
      <c r="AM82">
        <v>46620</v>
      </c>
      <c r="AN82" t="s">
        <v>356</v>
      </c>
      <c r="AO82" t="s">
        <v>356</v>
      </c>
      <c r="AP82" t="s">
        <v>158</v>
      </c>
      <c r="AQ82">
        <v>1</v>
      </c>
      <c r="AR82" t="s">
        <v>118</v>
      </c>
      <c r="AS82" t="s">
        <v>35</v>
      </c>
      <c r="AT82">
        <v>151</v>
      </c>
      <c r="AU82" t="s">
        <v>118</v>
      </c>
    </row>
    <row r="83" spans="2:47" x14ac:dyDescent="0.25">
      <c r="B83" t="str">
        <f t="shared" si="1"/>
        <v>Richmond County</v>
      </c>
      <c r="C83">
        <v>37</v>
      </c>
      <c r="D83" t="s">
        <v>357</v>
      </c>
      <c r="E83" t="s">
        <v>358</v>
      </c>
      <c r="F83">
        <v>42300</v>
      </c>
      <c r="G83">
        <v>17300</v>
      </c>
      <c r="H83">
        <v>19800</v>
      </c>
      <c r="I83">
        <v>22250</v>
      </c>
      <c r="J83">
        <v>24700</v>
      </c>
      <c r="K83">
        <v>26700</v>
      </c>
      <c r="L83">
        <v>28700</v>
      </c>
      <c r="M83">
        <v>30650</v>
      </c>
      <c r="N83">
        <v>32650</v>
      </c>
      <c r="O83">
        <v>20760</v>
      </c>
      <c r="P83">
        <v>23760</v>
      </c>
      <c r="Q83">
        <v>26700</v>
      </c>
      <c r="R83">
        <v>29640</v>
      </c>
      <c r="S83">
        <v>32040</v>
      </c>
      <c r="T83">
        <v>34440</v>
      </c>
      <c r="U83">
        <v>36780</v>
      </c>
      <c r="V83">
        <v>39180</v>
      </c>
      <c r="W83" t="s">
        <v>156</v>
      </c>
      <c r="X83">
        <v>17900</v>
      </c>
      <c r="Y83">
        <v>20450</v>
      </c>
      <c r="Z83">
        <v>23000</v>
      </c>
      <c r="AA83">
        <v>25550</v>
      </c>
      <c r="AB83">
        <v>27600</v>
      </c>
      <c r="AC83">
        <v>29650</v>
      </c>
      <c r="AD83">
        <v>31700</v>
      </c>
      <c r="AE83">
        <v>33750</v>
      </c>
      <c r="AF83">
        <v>21480</v>
      </c>
      <c r="AG83">
        <v>24540</v>
      </c>
      <c r="AH83">
        <v>27600</v>
      </c>
      <c r="AI83">
        <v>30660</v>
      </c>
      <c r="AJ83">
        <v>33120</v>
      </c>
      <c r="AK83">
        <v>35580</v>
      </c>
      <c r="AL83">
        <v>38040</v>
      </c>
      <c r="AM83">
        <v>40500</v>
      </c>
      <c r="AN83" t="s">
        <v>359</v>
      </c>
      <c r="AO83" t="s">
        <v>359</v>
      </c>
      <c r="AP83" t="s">
        <v>158</v>
      </c>
      <c r="AQ83">
        <v>0</v>
      </c>
      <c r="AR83" t="s">
        <v>119</v>
      </c>
      <c r="AS83" t="s">
        <v>35</v>
      </c>
      <c r="AT83">
        <v>153</v>
      </c>
      <c r="AU83" t="s">
        <v>119</v>
      </c>
    </row>
    <row r="84" spans="2:47" x14ac:dyDescent="0.25">
      <c r="B84" t="str">
        <f t="shared" si="1"/>
        <v>Robeson County</v>
      </c>
      <c r="C84">
        <v>37</v>
      </c>
      <c r="D84" t="s">
        <v>360</v>
      </c>
      <c r="E84" t="s">
        <v>361</v>
      </c>
      <c r="F84">
        <v>37100</v>
      </c>
      <c r="G84">
        <v>17300</v>
      </c>
      <c r="H84">
        <v>19800</v>
      </c>
      <c r="I84">
        <v>22250</v>
      </c>
      <c r="J84">
        <v>24700</v>
      </c>
      <c r="K84">
        <v>26700</v>
      </c>
      <c r="L84">
        <v>28700</v>
      </c>
      <c r="M84">
        <v>30650</v>
      </c>
      <c r="N84">
        <v>32650</v>
      </c>
      <c r="O84">
        <v>20760</v>
      </c>
      <c r="P84">
        <v>23760</v>
      </c>
      <c r="Q84">
        <v>26700</v>
      </c>
      <c r="R84">
        <v>29640</v>
      </c>
      <c r="S84">
        <v>32040</v>
      </c>
      <c r="T84">
        <v>34440</v>
      </c>
      <c r="U84">
        <v>36780</v>
      </c>
      <c r="V84">
        <v>39180</v>
      </c>
      <c r="W84" t="s">
        <v>156</v>
      </c>
      <c r="X84">
        <v>18100</v>
      </c>
      <c r="Y84">
        <v>20650</v>
      </c>
      <c r="Z84">
        <v>23250</v>
      </c>
      <c r="AA84">
        <v>25800</v>
      </c>
      <c r="AB84">
        <v>27900</v>
      </c>
      <c r="AC84">
        <v>29950</v>
      </c>
      <c r="AD84">
        <v>32000</v>
      </c>
      <c r="AE84">
        <v>34100</v>
      </c>
      <c r="AF84">
        <v>21720</v>
      </c>
      <c r="AG84">
        <v>24780</v>
      </c>
      <c r="AH84">
        <v>27900</v>
      </c>
      <c r="AI84">
        <v>30960</v>
      </c>
      <c r="AJ84">
        <v>33480</v>
      </c>
      <c r="AK84">
        <v>35940</v>
      </c>
      <c r="AL84">
        <v>38400</v>
      </c>
      <c r="AM84">
        <v>40920</v>
      </c>
      <c r="AN84" t="s">
        <v>362</v>
      </c>
      <c r="AO84" t="s">
        <v>362</v>
      </c>
      <c r="AP84" t="s">
        <v>158</v>
      </c>
      <c r="AQ84">
        <v>0</v>
      </c>
      <c r="AR84" t="s">
        <v>120</v>
      </c>
      <c r="AS84" t="s">
        <v>35</v>
      </c>
      <c r="AT84">
        <v>155</v>
      </c>
      <c r="AU84" t="s">
        <v>120</v>
      </c>
    </row>
    <row r="85" spans="2:47" x14ac:dyDescent="0.25">
      <c r="B85" t="str">
        <f t="shared" si="1"/>
        <v>Rockingham County</v>
      </c>
      <c r="C85">
        <v>37</v>
      </c>
      <c r="D85" t="s">
        <v>363</v>
      </c>
      <c r="E85" t="s">
        <v>364</v>
      </c>
      <c r="F85">
        <v>46100</v>
      </c>
      <c r="G85">
        <v>17300</v>
      </c>
      <c r="H85">
        <v>19800</v>
      </c>
      <c r="I85">
        <v>22250</v>
      </c>
      <c r="J85">
        <v>24700</v>
      </c>
      <c r="K85">
        <v>26700</v>
      </c>
      <c r="L85">
        <v>28700</v>
      </c>
      <c r="M85">
        <v>30650</v>
      </c>
      <c r="N85">
        <v>32650</v>
      </c>
      <c r="O85">
        <v>20760</v>
      </c>
      <c r="P85">
        <v>23760</v>
      </c>
      <c r="Q85">
        <v>26700</v>
      </c>
      <c r="R85">
        <v>29640</v>
      </c>
      <c r="S85">
        <v>32040</v>
      </c>
      <c r="T85">
        <v>34440</v>
      </c>
      <c r="U85">
        <v>36780</v>
      </c>
      <c r="V85">
        <v>39180</v>
      </c>
      <c r="W85" t="s">
        <v>156</v>
      </c>
      <c r="X85">
        <v>18050</v>
      </c>
      <c r="Y85">
        <v>20600</v>
      </c>
      <c r="Z85">
        <v>23200</v>
      </c>
      <c r="AA85">
        <v>25750</v>
      </c>
      <c r="AB85">
        <v>27850</v>
      </c>
      <c r="AC85">
        <v>29900</v>
      </c>
      <c r="AD85">
        <v>31950</v>
      </c>
      <c r="AE85">
        <v>34000</v>
      </c>
      <c r="AF85">
        <v>21660</v>
      </c>
      <c r="AG85">
        <v>24720</v>
      </c>
      <c r="AH85">
        <v>27840</v>
      </c>
      <c r="AI85">
        <v>30900</v>
      </c>
      <c r="AJ85">
        <v>33420</v>
      </c>
      <c r="AK85">
        <v>35880</v>
      </c>
      <c r="AL85">
        <v>38340</v>
      </c>
      <c r="AM85">
        <v>40800</v>
      </c>
      <c r="AN85" t="s">
        <v>365</v>
      </c>
      <c r="AO85" t="s">
        <v>365</v>
      </c>
      <c r="AP85" t="s">
        <v>158</v>
      </c>
      <c r="AQ85">
        <v>1</v>
      </c>
      <c r="AR85" t="s">
        <v>121</v>
      </c>
      <c r="AS85" t="s">
        <v>35</v>
      </c>
      <c r="AT85">
        <v>157</v>
      </c>
      <c r="AU85" t="s">
        <v>121</v>
      </c>
    </row>
    <row r="86" spans="2:47" x14ac:dyDescent="0.25">
      <c r="B86" t="str">
        <f t="shared" si="1"/>
        <v>Rowan County</v>
      </c>
      <c r="C86">
        <v>37</v>
      </c>
      <c r="D86" t="s">
        <v>366</v>
      </c>
      <c r="E86" t="s">
        <v>367</v>
      </c>
      <c r="F86">
        <v>48500</v>
      </c>
      <c r="G86">
        <v>18050</v>
      </c>
      <c r="H86">
        <v>20600</v>
      </c>
      <c r="I86">
        <v>23200</v>
      </c>
      <c r="J86">
        <v>25750</v>
      </c>
      <c r="K86">
        <v>27850</v>
      </c>
      <c r="L86">
        <v>29900</v>
      </c>
      <c r="M86">
        <v>31950</v>
      </c>
      <c r="N86">
        <v>34000</v>
      </c>
      <c r="O86">
        <v>21660</v>
      </c>
      <c r="P86">
        <v>24720</v>
      </c>
      <c r="Q86">
        <v>27840</v>
      </c>
      <c r="R86">
        <v>30900</v>
      </c>
      <c r="S86">
        <v>33420</v>
      </c>
      <c r="T86">
        <v>35880</v>
      </c>
      <c r="U86">
        <v>38340</v>
      </c>
      <c r="V86">
        <v>40800</v>
      </c>
      <c r="W86" t="s">
        <v>156</v>
      </c>
      <c r="X86">
        <v>23550</v>
      </c>
      <c r="Y86">
        <v>26900</v>
      </c>
      <c r="Z86">
        <v>30250</v>
      </c>
      <c r="AA86">
        <v>33600</v>
      </c>
      <c r="AB86">
        <v>36300</v>
      </c>
      <c r="AC86">
        <v>39000</v>
      </c>
      <c r="AD86">
        <v>41700</v>
      </c>
      <c r="AE86">
        <v>44400</v>
      </c>
      <c r="AF86">
        <v>28260</v>
      </c>
      <c r="AG86">
        <v>32280</v>
      </c>
      <c r="AH86">
        <v>36300</v>
      </c>
      <c r="AI86">
        <v>40320</v>
      </c>
      <c r="AJ86">
        <v>43560</v>
      </c>
      <c r="AK86">
        <v>46800</v>
      </c>
      <c r="AL86">
        <v>50040</v>
      </c>
      <c r="AM86">
        <v>53280</v>
      </c>
      <c r="AN86" t="s">
        <v>368</v>
      </c>
      <c r="AO86" t="s">
        <v>368</v>
      </c>
      <c r="AP86" t="s">
        <v>158</v>
      </c>
      <c r="AQ86">
        <v>0</v>
      </c>
      <c r="AR86" t="s">
        <v>122</v>
      </c>
      <c r="AS86" t="s">
        <v>35</v>
      </c>
      <c r="AT86">
        <v>159</v>
      </c>
      <c r="AU86" t="s">
        <v>122</v>
      </c>
    </row>
    <row r="87" spans="2:47" x14ac:dyDescent="0.25">
      <c r="B87" t="str">
        <f t="shared" si="1"/>
        <v>Rutherford County</v>
      </c>
      <c r="C87">
        <v>37</v>
      </c>
      <c r="D87" t="s">
        <v>369</v>
      </c>
      <c r="E87" t="s">
        <v>370</v>
      </c>
      <c r="F87">
        <v>45700</v>
      </c>
      <c r="G87">
        <v>17300</v>
      </c>
      <c r="H87">
        <v>19800</v>
      </c>
      <c r="I87">
        <v>22250</v>
      </c>
      <c r="J87">
        <v>24700</v>
      </c>
      <c r="K87">
        <v>26700</v>
      </c>
      <c r="L87">
        <v>28700</v>
      </c>
      <c r="M87">
        <v>30650</v>
      </c>
      <c r="N87">
        <v>32650</v>
      </c>
      <c r="O87">
        <v>20760</v>
      </c>
      <c r="P87">
        <v>23760</v>
      </c>
      <c r="Q87">
        <v>26700</v>
      </c>
      <c r="R87">
        <v>29640</v>
      </c>
      <c r="S87">
        <v>32040</v>
      </c>
      <c r="T87">
        <v>34440</v>
      </c>
      <c r="U87">
        <v>36780</v>
      </c>
      <c r="V87">
        <v>39180</v>
      </c>
      <c r="W87" t="s">
        <v>156</v>
      </c>
      <c r="X87">
        <v>18000</v>
      </c>
      <c r="Y87">
        <v>20550</v>
      </c>
      <c r="Z87">
        <v>23100</v>
      </c>
      <c r="AA87">
        <v>25650</v>
      </c>
      <c r="AB87">
        <v>27750</v>
      </c>
      <c r="AC87">
        <v>29800</v>
      </c>
      <c r="AD87">
        <v>31850</v>
      </c>
      <c r="AE87">
        <v>33900</v>
      </c>
      <c r="AF87">
        <v>21600</v>
      </c>
      <c r="AG87">
        <v>24660</v>
      </c>
      <c r="AH87">
        <v>27720</v>
      </c>
      <c r="AI87">
        <v>30780</v>
      </c>
      <c r="AJ87">
        <v>33300</v>
      </c>
      <c r="AK87">
        <v>35760</v>
      </c>
      <c r="AL87">
        <v>38220</v>
      </c>
      <c r="AM87">
        <v>40680</v>
      </c>
      <c r="AN87" t="s">
        <v>371</v>
      </c>
      <c r="AO87" t="s">
        <v>371</v>
      </c>
      <c r="AP87" t="s">
        <v>158</v>
      </c>
      <c r="AQ87">
        <v>0</v>
      </c>
      <c r="AR87" t="s">
        <v>123</v>
      </c>
      <c r="AS87" t="s">
        <v>35</v>
      </c>
      <c r="AT87">
        <v>161</v>
      </c>
      <c r="AU87" t="s">
        <v>123</v>
      </c>
    </row>
    <row r="88" spans="2:47" x14ac:dyDescent="0.25">
      <c r="B88" t="str">
        <f t="shared" si="1"/>
        <v>Sampson County</v>
      </c>
      <c r="C88">
        <v>37</v>
      </c>
      <c r="D88" t="s">
        <v>372</v>
      </c>
      <c r="E88" t="s">
        <v>373</v>
      </c>
      <c r="F88">
        <v>46800</v>
      </c>
      <c r="G88">
        <v>17300</v>
      </c>
      <c r="H88">
        <v>19800</v>
      </c>
      <c r="I88">
        <v>22250</v>
      </c>
      <c r="J88">
        <v>24700</v>
      </c>
      <c r="K88">
        <v>26700</v>
      </c>
      <c r="L88">
        <v>28700</v>
      </c>
      <c r="M88">
        <v>30650</v>
      </c>
      <c r="N88">
        <v>32650</v>
      </c>
      <c r="O88">
        <v>20760</v>
      </c>
      <c r="P88">
        <v>23760</v>
      </c>
      <c r="Q88">
        <v>26700</v>
      </c>
      <c r="R88">
        <v>29640</v>
      </c>
      <c r="S88">
        <v>32040</v>
      </c>
      <c r="T88">
        <v>34440</v>
      </c>
      <c r="U88">
        <v>36780</v>
      </c>
      <c r="V88">
        <v>39180</v>
      </c>
      <c r="W88" t="s">
        <v>156</v>
      </c>
      <c r="X88">
        <v>17650</v>
      </c>
      <c r="Y88">
        <v>20200</v>
      </c>
      <c r="Z88">
        <v>22700</v>
      </c>
      <c r="AA88">
        <v>25200</v>
      </c>
      <c r="AB88">
        <v>27250</v>
      </c>
      <c r="AC88">
        <v>29250</v>
      </c>
      <c r="AD88">
        <v>31250</v>
      </c>
      <c r="AE88">
        <v>33300</v>
      </c>
      <c r="AF88">
        <v>21180</v>
      </c>
      <c r="AG88">
        <v>24240</v>
      </c>
      <c r="AH88">
        <v>27240</v>
      </c>
      <c r="AI88">
        <v>30240</v>
      </c>
      <c r="AJ88">
        <v>32700</v>
      </c>
      <c r="AK88">
        <v>35100</v>
      </c>
      <c r="AL88">
        <v>37500</v>
      </c>
      <c r="AM88">
        <v>39960</v>
      </c>
      <c r="AN88" t="s">
        <v>374</v>
      </c>
      <c r="AO88" t="s">
        <v>374</v>
      </c>
      <c r="AP88" t="s">
        <v>158</v>
      </c>
      <c r="AQ88">
        <v>0</v>
      </c>
      <c r="AR88" t="s">
        <v>124</v>
      </c>
      <c r="AS88" t="s">
        <v>35</v>
      </c>
      <c r="AT88">
        <v>163</v>
      </c>
      <c r="AU88" t="s">
        <v>124</v>
      </c>
    </row>
    <row r="89" spans="2:47" x14ac:dyDescent="0.25">
      <c r="B89" t="str">
        <f t="shared" si="1"/>
        <v>Scotland County</v>
      </c>
      <c r="C89">
        <v>37</v>
      </c>
      <c r="D89" t="s">
        <v>375</v>
      </c>
      <c r="E89" t="s">
        <v>376</v>
      </c>
      <c r="F89">
        <v>39200</v>
      </c>
      <c r="G89">
        <v>17300</v>
      </c>
      <c r="H89">
        <v>19800</v>
      </c>
      <c r="I89">
        <v>22250</v>
      </c>
      <c r="J89">
        <v>24700</v>
      </c>
      <c r="K89">
        <v>26700</v>
      </c>
      <c r="L89">
        <v>28700</v>
      </c>
      <c r="M89">
        <v>30650</v>
      </c>
      <c r="N89">
        <v>32650</v>
      </c>
      <c r="O89">
        <v>20760</v>
      </c>
      <c r="P89">
        <v>23760</v>
      </c>
      <c r="Q89">
        <v>26700</v>
      </c>
      <c r="R89">
        <v>29640</v>
      </c>
      <c r="S89">
        <v>32040</v>
      </c>
      <c r="T89">
        <v>34440</v>
      </c>
      <c r="U89">
        <v>36780</v>
      </c>
      <c r="V89">
        <v>39180</v>
      </c>
      <c r="W89" t="s">
        <v>156</v>
      </c>
      <c r="X89">
        <v>17900</v>
      </c>
      <c r="Y89">
        <v>20450</v>
      </c>
      <c r="Z89">
        <v>23000</v>
      </c>
      <c r="AA89">
        <v>25550</v>
      </c>
      <c r="AB89">
        <v>27600</v>
      </c>
      <c r="AC89">
        <v>29650</v>
      </c>
      <c r="AD89">
        <v>31700</v>
      </c>
      <c r="AE89">
        <v>33750</v>
      </c>
      <c r="AF89">
        <v>21480</v>
      </c>
      <c r="AG89">
        <v>24540</v>
      </c>
      <c r="AH89">
        <v>27600</v>
      </c>
      <c r="AI89">
        <v>30660</v>
      </c>
      <c r="AJ89">
        <v>33120</v>
      </c>
      <c r="AK89">
        <v>35580</v>
      </c>
      <c r="AL89">
        <v>38040</v>
      </c>
      <c r="AM89">
        <v>40500</v>
      </c>
      <c r="AN89" t="s">
        <v>377</v>
      </c>
      <c r="AO89" t="s">
        <v>377</v>
      </c>
      <c r="AP89" t="s">
        <v>158</v>
      </c>
      <c r="AQ89">
        <v>0</v>
      </c>
      <c r="AR89" t="s">
        <v>125</v>
      </c>
      <c r="AS89" t="s">
        <v>35</v>
      </c>
      <c r="AT89">
        <v>165</v>
      </c>
      <c r="AU89" t="s">
        <v>125</v>
      </c>
    </row>
    <row r="90" spans="2:47" x14ac:dyDescent="0.25">
      <c r="B90" t="str">
        <f t="shared" si="1"/>
        <v>Stanly County</v>
      </c>
      <c r="C90">
        <v>37</v>
      </c>
      <c r="D90" t="s">
        <v>378</v>
      </c>
      <c r="E90" t="s">
        <v>379</v>
      </c>
      <c r="F90">
        <v>59400</v>
      </c>
      <c r="G90">
        <v>20800</v>
      </c>
      <c r="H90">
        <v>23800</v>
      </c>
      <c r="I90">
        <v>26750</v>
      </c>
      <c r="J90">
        <v>29700</v>
      </c>
      <c r="K90">
        <v>32100</v>
      </c>
      <c r="L90">
        <v>34500</v>
      </c>
      <c r="M90">
        <v>36850</v>
      </c>
      <c r="N90">
        <v>39250</v>
      </c>
      <c r="O90">
        <v>24960</v>
      </c>
      <c r="P90">
        <v>28560</v>
      </c>
      <c r="Q90">
        <v>32100</v>
      </c>
      <c r="R90">
        <v>35640</v>
      </c>
      <c r="S90">
        <v>38520</v>
      </c>
      <c r="T90">
        <v>41400</v>
      </c>
      <c r="U90">
        <v>44220</v>
      </c>
      <c r="V90">
        <v>47100</v>
      </c>
      <c r="W90" t="s">
        <v>156</v>
      </c>
      <c r="X90">
        <v>21650</v>
      </c>
      <c r="Y90">
        <v>24750</v>
      </c>
      <c r="Z90">
        <v>27850</v>
      </c>
      <c r="AA90">
        <v>30900</v>
      </c>
      <c r="AB90">
        <v>33400</v>
      </c>
      <c r="AC90">
        <v>35850</v>
      </c>
      <c r="AD90">
        <v>38350</v>
      </c>
      <c r="AE90">
        <v>40800</v>
      </c>
      <c r="AF90">
        <v>25980</v>
      </c>
      <c r="AG90">
        <v>29700</v>
      </c>
      <c r="AH90">
        <v>33420</v>
      </c>
      <c r="AI90">
        <v>37080</v>
      </c>
      <c r="AJ90">
        <v>40080</v>
      </c>
      <c r="AK90">
        <v>43020</v>
      </c>
      <c r="AL90">
        <v>46020</v>
      </c>
      <c r="AM90">
        <v>48960</v>
      </c>
      <c r="AN90" t="s">
        <v>380</v>
      </c>
      <c r="AO90" t="s">
        <v>380</v>
      </c>
      <c r="AP90" t="s">
        <v>158</v>
      </c>
      <c r="AQ90">
        <v>0</v>
      </c>
      <c r="AR90" t="s">
        <v>126</v>
      </c>
      <c r="AS90" t="s">
        <v>35</v>
      </c>
      <c r="AT90">
        <v>167</v>
      </c>
      <c r="AU90" t="s">
        <v>126</v>
      </c>
    </row>
    <row r="91" spans="2:47" x14ac:dyDescent="0.25">
      <c r="B91" t="str">
        <f t="shared" si="1"/>
        <v>Stokes County</v>
      </c>
      <c r="C91">
        <v>37</v>
      </c>
      <c r="D91" t="s">
        <v>238</v>
      </c>
      <c r="E91" t="s">
        <v>239</v>
      </c>
      <c r="F91">
        <v>56000</v>
      </c>
      <c r="G91">
        <v>19850</v>
      </c>
      <c r="H91">
        <v>22650</v>
      </c>
      <c r="I91">
        <v>25500</v>
      </c>
      <c r="J91">
        <v>28300</v>
      </c>
      <c r="K91">
        <v>30600</v>
      </c>
      <c r="L91">
        <v>32850</v>
      </c>
      <c r="M91">
        <v>35100</v>
      </c>
      <c r="N91">
        <v>37400</v>
      </c>
      <c r="O91">
        <v>23820</v>
      </c>
      <c r="P91">
        <v>27180</v>
      </c>
      <c r="Q91">
        <v>30600</v>
      </c>
      <c r="R91">
        <v>33960</v>
      </c>
      <c r="S91">
        <v>36720</v>
      </c>
      <c r="T91">
        <v>39420</v>
      </c>
      <c r="U91">
        <v>42120</v>
      </c>
      <c r="V91">
        <v>44880</v>
      </c>
      <c r="W91" t="s">
        <v>156</v>
      </c>
      <c r="X91">
        <v>22050</v>
      </c>
      <c r="Y91">
        <v>25200</v>
      </c>
      <c r="Z91">
        <v>28350</v>
      </c>
      <c r="AA91">
        <v>31500</v>
      </c>
      <c r="AB91">
        <v>34050</v>
      </c>
      <c r="AC91">
        <v>36550</v>
      </c>
      <c r="AD91">
        <v>39100</v>
      </c>
      <c r="AE91">
        <v>41600</v>
      </c>
      <c r="AF91">
        <v>26460</v>
      </c>
      <c r="AG91">
        <v>30240</v>
      </c>
      <c r="AH91">
        <v>34020</v>
      </c>
      <c r="AI91">
        <v>37800</v>
      </c>
      <c r="AJ91">
        <v>40860</v>
      </c>
      <c r="AK91">
        <v>43860</v>
      </c>
      <c r="AL91">
        <v>46920</v>
      </c>
      <c r="AM91">
        <v>49920</v>
      </c>
      <c r="AN91" t="s">
        <v>381</v>
      </c>
      <c r="AO91" t="s">
        <v>381</v>
      </c>
      <c r="AP91" t="s">
        <v>158</v>
      </c>
      <c r="AQ91">
        <v>1</v>
      </c>
      <c r="AR91" t="s">
        <v>127</v>
      </c>
      <c r="AS91" t="s">
        <v>35</v>
      </c>
      <c r="AT91">
        <v>169</v>
      </c>
      <c r="AU91" t="s">
        <v>127</v>
      </c>
    </row>
    <row r="92" spans="2:47" x14ac:dyDescent="0.25">
      <c r="B92" t="str">
        <f t="shared" si="1"/>
        <v>Surry County</v>
      </c>
      <c r="C92">
        <v>37</v>
      </c>
      <c r="D92" t="s">
        <v>382</v>
      </c>
      <c r="E92" t="s">
        <v>383</v>
      </c>
      <c r="F92">
        <v>42800</v>
      </c>
      <c r="G92">
        <v>17300</v>
      </c>
      <c r="H92">
        <v>19800</v>
      </c>
      <c r="I92">
        <v>22250</v>
      </c>
      <c r="J92">
        <v>24700</v>
      </c>
      <c r="K92">
        <v>26700</v>
      </c>
      <c r="L92">
        <v>28700</v>
      </c>
      <c r="M92">
        <v>30650</v>
      </c>
      <c r="N92">
        <v>32650</v>
      </c>
      <c r="O92">
        <v>20760</v>
      </c>
      <c r="P92">
        <v>23760</v>
      </c>
      <c r="Q92">
        <v>26700</v>
      </c>
      <c r="R92">
        <v>29640</v>
      </c>
      <c r="S92">
        <v>32040</v>
      </c>
      <c r="T92">
        <v>34440</v>
      </c>
      <c r="U92">
        <v>36780</v>
      </c>
      <c r="V92">
        <v>39180</v>
      </c>
      <c r="W92" t="s">
        <v>156</v>
      </c>
      <c r="X92">
        <v>17750</v>
      </c>
      <c r="Y92">
        <v>20300</v>
      </c>
      <c r="Z92">
        <v>22850</v>
      </c>
      <c r="AA92">
        <v>25350</v>
      </c>
      <c r="AB92">
        <v>27400</v>
      </c>
      <c r="AC92">
        <v>29450</v>
      </c>
      <c r="AD92">
        <v>31450</v>
      </c>
      <c r="AE92">
        <v>33500</v>
      </c>
      <c r="AF92">
        <v>21300</v>
      </c>
      <c r="AG92">
        <v>24360</v>
      </c>
      <c r="AH92">
        <v>27420</v>
      </c>
      <c r="AI92">
        <v>30420</v>
      </c>
      <c r="AJ92">
        <v>32880</v>
      </c>
      <c r="AK92">
        <v>35340</v>
      </c>
      <c r="AL92">
        <v>37740</v>
      </c>
      <c r="AM92">
        <v>40200</v>
      </c>
      <c r="AN92" t="s">
        <v>384</v>
      </c>
      <c r="AO92" t="s">
        <v>384</v>
      </c>
      <c r="AP92" t="s">
        <v>158</v>
      </c>
      <c r="AQ92">
        <v>0</v>
      </c>
      <c r="AR92" t="s">
        <v>128</v>
      </c>
      <c r="AS92" t="s">
        <v>35</v>
      </c>
      <c r="AT92">
        <v>171</v>
      </c>
      <c r="AU92" t="s">
        <v>128</v>
      </c>
    </row>
    <row r="93" spans="2:47" x14ac:dyDescent="0.25">
      <c r="B93" t="str">
        <f t="shared" si="1"/>
        <v>Swain County</v>
      </c>
      <c r="C93">
        <v>37</v>
      </c>
      <c r="D93" t="s">
        <v>385</v>
      </c>
      <c r="E93" t="s">
        <v>386</v>
      </c>
      <c r="F93">
        <v>52900</v>
      </c>
      <c r="G93">
        <v>18550</v>
      </c>
      <c r="H93">
        <v>21200</v>
      </c>
      <c r="I93">
        <v>23850</v>
      </c>
      <c r="J93">
        <v>26450</v>
      </c>
      <c r="K93">
        <v>28600</v>
      </c>
      <c r="L93">
        <v>30700</v>
      </c>
      <c r="M93">
        <v>32800</v>
      </c>
      <c r="N93">
        <v>34950</v>
      </c>
      <c r="O93">
        <v>22260</v>
      </c>
      <c r="P93">
        <v>25440</v>
      </c>
      <c r="Q93">
        <v>28620</v>
      </c>
      <c r="R93">
        <v>31740</v>
      </c>
      <c r="S93">
        <v>34320</v>
      </c>
      <c r="T93">
        <v>36840</v>
      </c>
      <c r="U93">
        <v>39360</v>
      </c>
      <c r="V93">
        <v>41940</v>
      </c>
      <c r="W93" t="s">
        <v>156</v>
      </c>
      <c r="X93">
        <v>22000</v>
      </c>
      <c r="Y93">
        <v>25150</v>
      </c>
      <c r="Z93">
        <v>28300</v>
      </c>
      <c r="AA93">
        <v>31400</v>
      </c>
      <c r="AB93">
        <v>33950</v>
      </c>
      <c r="AC93">
        <v>36450</v>
      </c>
      <c r="AD93">
        <v>38950</v>
      </c>
      <c r="AE93">
        <v>41450</v>
      </c>
      <c r="AF93">
        <v>26400</v>
      </c>
      <c r="AG93">
        <v>30180</v>
      </c>
      <c r="AH93">
        <v>33960</v>
      </c>
      <c r="AI93">
        <v>37680</v>
      </c>
      <c r="AJ93">
        <v>40740</v>
      </c>
      <c r="AK93">
        <v>43740</v>
      </c>
      <c r="AL93">
        <v>46740</v>
      </c>
      <c r="AM93">
        <v>49740</v>
      </c>
      <c r="AN93" t="s">
        <v>387</v>
      </c>
      <c r="AO93" t="s">
        <v>387</v>
      </c>
      <c r="AP93" t="s">
        <v>158</v>
      </c>
      <c r="AQ93">
        <v>0</v>
      </c>
      <c r="AR93" t="s">
        <v>129</v>
      </c>
      <c r="AS93" t="s">
        <v>35</v>
      </c>
      <c r="AT93">
        <v>173</v>
      </c>
      <c r="AU93" t="s">
        <v>129</v>
      </c>
    </row>
    <row r="94" spans="2:47" x14ac:dyDescent="0.25">
      <c r="B94" t="str">
        <f t="shared" si="1"/>
        <v>Transylvania County</v>
      </c>
      <c r="C94">
        <v>37</v>
      </c>
      <c r="D94" t="s">
        <v>388</v>
      </c>
      <c r="E94" t="s">
        <v>389</v>
      </c>
      <c r="F94">
        <v>55600</v>
      </c>
      <c r="G94">
        <v>19500</v>
      </c>
      <c r="H94">
        <v>22250</v>
      </c>
      <c r="I94">
        <v>25050</v>
      </c>
      <c r="J94">
        <v>27800</v>
      </c>
      <c r="K94">
        <v>30050</v>
      </c>
      <c r="L94">
        <v>32250</v>
      </c>
      <c r="M94">
        <v>34500</v>
      </c>
      <c r="N94">
        <v>36700</v>
      </c>
      <c r="O94">
        <v>23400</v>
      </c>
      <c r="P94">
        <v>26700</v>
      </c>
      <c r="Q94">
        <v>30060</v>
      </c>
      <c r="R94">
        <v>33360</v>
      </c>
      <c r="S94">
        <v>36060</v>
      </c>
      <c r="T94">
        <v>38700</v>
      </c>
      <c r="U94">
        <v>41400</v>
      </c>
      <c r="V94">
        <v>44040</v>
      </c>
      <c r="W94" t="s">
        <v>156</v>
      </c>
      <c r="X94">
        <v>19850</v>
      </c>
      <c r="Y94">
        <v>22700</v>
      </c>
      <c r="Z94">
        <v>25550</v>
      </c>
      <c r="AA94">
        <v>28350</v>
      </c>
      <c r="AB94">
        <v>30650</v>
      </c>
      <c r="AC94">
        <v>32900</v>
      </c>
      <c r="AD94">
        <v>35200</v>
      </c>
      <c r="AE94">
        <v>37450</v>
      </c>
      <c r="AF94">
        <v>23820</v>
      </c>
      <c r="AG94">
        <v>27240</v>
      </c>
      <c r="AH94">
        <v>30660</v>
      </c>
      <c r="AI94">
        <v>34020</v>
      </c>
      <c r="AJ94">
        <v>36780</v>
      </c>
      <c r="AK94">
        <v>39480</v>
      </c>
      <c r="AL94">
        <v>42240</v>
      </c>
      <c r="AM94">
        <v>44940</v>
      </c>
      <c r="AN94" t="s">
        <v>390</v>
      </c>
      <c r="AO94" t="s">
        <v>390</v>
      </c>
      <c r="AP94" t="s">
        <v>158</v>
      </c>
      <c r="AQ94">
        <v>0</v>
      </c>
      <c r="AR94" t="s">
        <v>130</v>
      </c>
      <c r="AS94" t="s">
        <v>35</v>
      </c>
      <c r="AT94">
        <v>175</v>
      </c>
      <c r="AU94" t="s">
        <v>130</v>
      </c>
    </row>
    <row r="95" spans="2:47" x14ac:dyDescent="0.25">
      <c r="B95" t="str">
        <f t="shared" si="1"/>
        <v>Tyrrell County</v>
      </c>
      <c r="C95">
        <v>37</v>
      </c>
      <c r="D95" t="s">
        <v>391</v>
      </c>
      <c r="E95" t="s">
        <v>392</v>
      </c>
      <c r="F95">
        <v>47000</v>
      </c>
      <c r="G95">
        <v>17300</v>
      </c>
      <c r="H95">
        <v>19800</v>
      </c>
      <c r="I95">
        <v>22250</v>
      </c>
      <c r="J95">
        <v>24700</v>
      </c>
      <c r="K95">
        <v>26700</v>
      </c>
      <c r="L95">
        <v>28700</v>
      </c>
      <c r="M95">
        <v>30650</v>
      </c>
      <c r="N95">
        <v>32650</v>
      </c>
      <c r="O95">
        <v>20760</v>
      </c>
      <c r="P95">
        <v>23760</v>
      </c>
      <c r="Q95">
        <v>26700</v>
      </c>
      <c r="R95">
        <v>29640</v>
      </c>
      <c r="S95">
        <v>32040</v>
      </c>
      <c r="T95">
        <v>34440</v>
      </c>
      <c r="U95">
        <v>36780</v>
      </c>
      <c r="V95">
        <v>39180</v>
      </c>
      <c r="W95" t="s">
        <v>156</v>
      </c>
      <c r="X95">
        <v>20650</v>
      </c>
      <c r="Y95">
        <v>23600</v>
      </c>
      <c r="Z95">
        <v>26550</v>
      </c>
      <c r="AA95">
        <v>29500</v>
      </c>
      <c r="AB95">
        <v>31900</v>
      </c>
      <c r="AC95">
        <v>34250</v>
      </c>
      <c r="AD95">
        <v>36600</v>
      </c>
      <c r="AE95">
        <v>38950</v>
      </c>
      <c r="AF95">
        <v>24780</v>
      </c>
      <c r="AG95">
        <v>28320</v>
      </c>
      <c r="AH95">
        <v>31860</v>
      </c>
      <c r="AI95">
        <v>35400</v>
      </c>
      <c r="AJ95">
        <v>38280</v>
      </c>
      <c r="AK95">
        <v>41100</v>
      </c>
      <c r="AL95">
        <v>43920</v>
      </c>
      <c r="AM95">
        <v>46740</v>
      </c>
      <c r="AN95" t="s">
        <v>393</v>
      </c>
      <c r="AO95" t="s">
        <v>393</v>
      </c>
      <c r="AP95" t="s">
        <v>158</v>
      </c>
      <c r="AQ95">
        <v>0</v>
      </c>
      <c r="AR95" t="s">
        <v>131</v>
      </c>
      <c r="AS95" t="s">
        <v>35</v>
      </c>
      <c r="AT95">
        <v>177</v>
      </c>
      <c r="AU95" t="s">
        <v>131</v>
      </c>
    </row>
    <row r="96" spans="2:47" x14ac:dyDescent="0.25">
      <c r="B96" t="str">
        <f t="shared" si="1"/>
        <v>Union County</v>
      </c>
      <c r="C96">
        <v>37</v>
      </c>
      <c r="D96" t="s">
        <v>191</v>
      </c>
      <c r="E96" t="s">
        <v>192</v>
      </c>
      <c r="F96">
        <v>64200</v>
      </c>
      <c r="G96">
        <v>22500</v>
      </c>
      <c r="H96">
        <v>25700</v>
      </c>
      <c r="I96">
        <v>28900</v>
      </c>
      <c r="J96">
        <v>32100</v>
      </c>
      <c r="K96">
        <v>34700</v>
      </c>
      <c r="L96">
        <v>37250</v>
      </c>
      <c r="M96">
        <v>39850</v>
      </c>
      <c r="N96">
        <v>42400</v>
      </c>
      <c r="O96">
        <v>27000</v>
      </c>
      <c r="P96">
        <v>30840</v>
      </c>
      <c r="Q96">
        <v>34680</v>
      </c>
      <c r="R96">
        <v>38520</v>
      </c>
      <c r="S96">
        <v>41640</v>
      </c>
      <c r="T96">
        <v>44700</v>
      </c>
      <c r="U96">
        <v>47820</v>
      </c>
      <c r="V96">
        <v>50880</v>
      </c>
      <c r="W96" t="s">
        <v>156</v>
      </c>
      <c r="X96">
        <v>24050</v>
      </c>
      <c r="Y96">
        <v>27450</v>
      </c>
      <c r="Z96">
        <v>30900</v>
      </c>
      <c r="AA96">
        <v>34300</v>
      </c>
      <c r="AB96">
        <v>37050</v>
      </c>
      <c r="AC96">
        <v>39800</v>
      </c>
      <c r="AD96">
        <v>42550</v>
      </c>
      <c r="AE96">
        <v>45300</v>
      </c>
      <c r="AF96">
        <v>28860</v>
      </c>
      <c r="AG96">
        <v>32940</v>
      </c>
      <c r="AH96">
        <v>37080</v>
      </c>
      <c r="AI96">
        <v>41160</v>
      </c>
      <c r="AJ96">
        <v>44460</v>
      </c>
      <c r="AK96">
        <v>47760</v>
      </c>
      <c r="AL96">
        <v>51060</v>
      </c>
      <c r="AM96">
        <v>54360</v>
      </c>
      <c r="AN96" t="s">
        <v>394</v>
      </c>
      <c r="AO96" t="s">
        <v>394</v>
      </c>
      <c r="AP96" t="s">
        <v>158</v>
      </c>
      <c r="AQ96">
        <v>1</v>
      </c>
      <c r="AR96" t="s">
        <v>132</v>
      </c>
      <c r="AS96" t="s">
        <v>35</v>
      </c>
      <c r="AT96">
        <v>179</v>
      </c>
      <c r="AU96" t="s">
        <v>132</v>
      </c>
    </row>
    <row r="97" spans="2:47" x14ac:dyDescent="0.25">
      <c r="B97" t="str">
        <f t="shared" si="1"/>
        <v>Vance County</v>
      </c>
      <c r="C97">
        <v>37</v>
      </c>
      <c r="D97" t="s">
        <v>395</v>
      </c>
      <c r="E97" t="s">
        <v>396</v>
      </c>
      <c r="F97">
        <v>43300</v>
      </c>
      <c r="G97">
        <v>17300</v>
      </c>
      <c r="H97">
        <v>19800</v>
      </c>
      <c r="I97">
        <v>22250</v>
      </c>
      <c r="J97">
        <v>24700</v>
      </c>
      <c r="K97">
        <v>26700</v>
      </c>
      <c r="L97">
        <v>28700</v>
      </c>
      <c r="M97">
        <v>30650</v>
      </c>
      <c r="N97">
        <v>32650</v>
      </c>
      <c r="O97">
        <v>20760</v>
      </c>
      <c r="P97">
        <v>23760</v>
      </c>
      <c r="Q97">
        <v>26700</v>
      </c>
      <c r="R97">
        <v>29640</v>
      </c>
      <c r="S97">
        <v>32040</v>
      </c>
      <c r="T97">
        <v>34440</v>
      </c>
      <c r="U97">
        <v>36780</v>
      </c>
      <c r="V97">
        <v>39180</v>
      </c>
      <c r="W97" t="s">
        <v>156</v>
      </c>
      <c r="X97">
        <v>17650</v>
      </c>
      <c r="Y97">
        <v>20200</v>
      </c>
      <c r="Z97">
        <v>22700</v>
      </c>
      <c r="AA97">
        <v>25200</v>
      </c>
      <c r="AB97">
        <v>27250</v>
      </c>
      <c r="AC97">
        <v>29250</v>
      </c>
      <c r="AD97">
        <v>31250</v>
      </c>
      <c r="AE97">
        <v>33300</v>
      </c>
      <c r="AF97">
        <v>21180</v>
      </c>
      <c r="AG97">
        <v>24240</v>
      </c>
      <c r="AH97">
        <v>27240</v>
      </c>
      <c r="AI97">
        <v>30240</v>
      </c>
      <c r="AJ97">
        <v>32700</v>
      </c>
      <c r="AK97">
        <v>35100</v>
      </c>
      <c r="AL97">
        <v>37500</v>
      </c>
      <c r="AM97">
        <v>39960</v>
      </c>
      <c r="AN97" t="s">
        <v>397</v>
      </c>
      <c r="AO97" t="s">
        <v>397</v>
      </c>
      <c r="AP97" t="s">
        <v>158</v>
      </c>
      <c r="AQ97">
        <v>0</v>
      </c>
      <c r="AR97" t="s">
        <v>133</v>
      </c>
      <c r="AS97" t="s">
        <v>35</v>
      </c>
      <c r="AT97">
        <v>181</v>
      </c>
      <c r="AU97" t="s">
        <v>133</v>
      </c>
    </row>
    <row r="98" spans="2:47" x14ac:dyDescent="0.25">
      <c r="B98" t="str">
        <f t="shared" si="1"/>
        <v>Wake County</v>
      </c>
      <c r="C98">
        <v>37</v>
      </c>
      <c r="D98" t="s">
        <v>249</v>
      </c>
      <c r="E98" t="s">
        <v>250</v>
      </c>
      <c r="F98">
        <v>75800</v>
      </c>
      <c r="G98">
        <v>26550</v>
      </c>
      <c r="H98">
        <v>30350</v>
      </c>
      <c r="I98">
        <v>34150</v>
      </c>
      <c r="J98">
        <v>37900</v>
      </c>
      <c r="K98">
        <v>40950</v>
      </c>
      <c r="L98">
        <v>44000</v>
      </c>
      <c r="M98">
        <v>47000</v>
      </c>
      <c r="N98">
        <v>50050</v>
      </c>
      <c r="O98">
        <v>31860</v>
      </c>
      <c r="P98">
        <v>36420</v>
      </c>
      <c r="Q98">
        <v>40980</v>
      </c>
      <c r="R98">
        <v>45480</v>
      </c>
      <c r="S98">
        <v>49140</v>
      </c>
      <c r="T98">
        <v>52800</v>
      </c>
      <c r="U98">
        <v>56400</v>
      </c>
      <c r="V98">
        <v>60060</v>
      </c>
      <c r="W98" t="s">
        <v>156</v>
      </c>
      <c r="X98">
        <v>28000</v>
      </c>
      <c r="Y98">
        <v>32000</v>
      </c>
      <c r="Z98">
        <v>36000</v>
      </c>
      <c r="AA98">
        <v>39950</v>
      </c>
      <c r="AB98">
        <v>43150</v>
      </c>
      <c r="AC98">
        <v>46350</v>
      </c>
      <c r="AD98">
        <v>49550</v>
      </c>
      <c r="AE98">
        <v>52750</v>
      </c>
      <c r="AF98">
        <v>33600</v>
      </c>
      <c r="AG98">
        <v>38400</v>
      </c>
      <c r="AH98">
        <v>43200</v>
      </c>
      <c r="AI98">
        <v>47940</v>
      </c>
      <c r="AJ98">
        <v>51780</v>
      </c>
      <c r="AK98">
        <v>55620</v>
      </c>
      <c r="AL98">
        <v>59460</v>
      </c>
      <c r="AM98">
        <v>63300</v>
      </c>
      <c r="AN98" t="s">
        <v>398</v>
      </c>
      <c r="AO98" t="s">
        <v>398</v>
      </c>
      <c r="AP98" t="s">
        <v>158</v>
      </c>
      <c r="AQ98">
        <v>1</v>
      </c>
      <c r="AR98" t="s">
        <v>134</v>
      </c>
      <c r="AS98" t="s">
        <v>35</v>
      </c>
      <c r="AT98">
        <v>183</v>
      </c>
      <c r="AU98" t="s">
        <v>134</v>
      </c>
    </row>
    <row r="99" spans="2:47" x14ac:dyDescent="0.25">
      <c r="B99" t="str">
        <f t="shared" si="1"/>
        <v>Warren County</v>
      </c>
      <c r="C99">
        <v>37</v>
      </c>
      <c r="D99" t="s">
        <v>399</v>
      </c>
      <c r="E99" t="s">
        <v>400</v>
      </c>
      <c r="F99">
        <v>44900</v>
      </c>
      <c r="G99">
        <v>17300</v>
      </c>
      <c r="H99">
        <v>19800</v>
      </c>
      <c r="I99">
        <v>22250</v>
      </c>
      <c r="J99">
        <v>24700</v>
      </c>
      <c r="K99">
        <v>26700</v>
      </c>
      <c r="L99">
        <v>28700</v>
      </c>
      <c r="M99">
        <v>30650</v>
      </c>
      <c r="N99">
        <v>32650</v>
      </c>
      <c r="O99">
        <v>20760</v>
      </c>
      <c r="P99">
        <v>23760</v>
      </c>
      <c r="Q99">
        <v>26700</v>
      </c>
      <c r="R99">
        <v>29640</v>
      </c>
      <c r="S99">
        <v>32040</v>
      </c>
      <c r="T99">
        <v>34440</v>
      </c>
      <c r="U99">
        <v>36780</v>
      </c>
      <c r="V99">
        <v>39180</v>
      </c>
      <c r="W99" t="s">
        <v>156</v>
      </c>
      <c r="X99">
        <v>18900</v>
      </c>
      <c r="Y99">
        <v>21600</v>
      </c>
      <c r="Z99">
        <v>24300</v>
      </c>
      <c r="AA99">
        <v>27000</v>
      </c>
      <c r="AB99">
        <v>29200</v>
      </c>
      <c r="AC99">
        <v>31350</v>
      </c>
      <c r="AD99">
        <v>33500</v>
      </c>
      <c r="AE99">
        <v>35650</v>
      </c>
      <c r="AF99">
        <v>22680</v>
      </c>
      <c r="AG99">
        <v>25920</v>
      </c>
      <c r="AH99">
        <v>29160</v>
      </c>
      <c r="AI99">
        <v>32400</v>
      </c>
      <c r="AJ99">
        <v>35040</v>
      </c>
      <c r="AK99">
        <v>37620</v>
      </c>
      <c r="AL99">
        <v>40200</v>
      </c>
      <c r="AM99">
        <v>42780</v>
      </c>
      <c r="AN99" t="s">
        <v>401</v>
      </c>
      <c r="AO99" t="s">
        <v>401</v>
      </c>
      <c r="AP99" t="s">
        <v>158</v>
      </c>
      <c r="AQ99">
        <v>0</v>
      </c>
      <c r="AR99" t="s">
        <v>135</v>
      </c>
      <c r="AS99" t="s">
        <v>35</v>
      </c>
      <c r="AT99">
        <v>185</v>
      </c>
      <c r="AU99" t="s">
        <v>135</v>
      </c>
    </row>
    <row r="100" spans="2:47" x14ac:dyDescent="0.25">
      <c r="B100" t="str">
        <f t="shared" si="1"/>
        <v>Washington County</v>
      </c>
      <c r="C100">
        <v>37</v>
      </c>
      <c r="D100" t="s">
        <v>402</v>
      </c>
      <c r="E100" t="s">
        <v>403</v>
      </c>
      <c r="F100">
        <v>49900</v>
      </c>
      <c r="G100">
        <v>17500</v>
      </c>
      <c r="H100">
        <v>20000</v>
      </c>
      <c r="I100">
        <v>22500</v>
      </c>
      <c r="J100">
        <v>24950</v>
      </c>
      <c r="K100">
        <v>26950</v>
      </c>
      <c r="L100">
        <v>28950</v>
      </c>
      <c r="M100">
        <v>30950</v>
      </c>
      <c r="N100">
        <v>32950</v>
      </c>
      <c r="O100">
        <v>21000</v>
      </c>
      <c r="P100">
        <v>24000</v>
      </c>
      <c r="Q100">
        <v>27000</v>
      </c>
      <c r="R100">
        <v>29940</v>
      </c>
      <c r="S100">
        <v>32340</v>
      </c>
      <c r="T100">
        <v>34740</v>
      </c>
      <c r="U100">
        <v>37140</v>
      </c>
      <c r="V100">
        <v>39540</v>
      </c>
      <c r="W100" t="s">
        <v>156</v>
      </c>
      <c r="X100">
        <v>20550</v>
      </c>
      <c r="Y100">
        <v>23500</v>
      </c>
      <c r="Z100">
        <v>26450</v>
      </c>
      <c r="AA100">
        <v>29350</v>
      </c>
      <c r="AB100">
        <v>31700</v>
      </c>
      <c r="AC100">
        <v>34050</v>
      </c>
      <c r="AD100">
        <v>36400</v>
      </c>
      <c r="AE100">
        <v>38750</v>
      </c>
      <c r="AF100">
        <v>24660</v>
      </c>
      <c r="AG100">
        <v>28200</v>
      </c>
      <c r="AH100">
        <v>31740</v>
      </c>
      <c r="AI100">
        <v>35220</v>
      </c>
      <c r="AJ100">
        <v>38040</v>
      </c>
      <c r="AK100">
        <v>40860</v>
      </c>
      <c r="AL100">
        <v>43680</v>
      </c>
      <c r="AM100">
        <v>46500</v>
      </c>
      <c r="AN100" t="s">
        <v>404</v>
      </c>
      <c r="AO100" t="s">
        <v>404</v>
      </c>
      <c r="AP100" t="s">
        <v>158</v>
      </c>
      <c r="AQ100">
        <v>0</v>
      </c>
      <c r="AR100" t="s">
        <v>136</v>
      </c>
      <c r="AS100" t="s">
        <v>35</v>
      </c>
      <c r="AT100">
        <v>187</v>
      </c>
      <c r="AU100" t="s">
        <v>136</v>
      </c>
    </row>
    <row r="101" spans="2:47" x14ac:dyDescent="0.25">
      <c r="B101" t="str">
        <f t="shared" si="1"/>
        <v>Watauga County</v>
      </c>
      <c r="C101">
        <v>37</v>
      </c>
      <c r="D101" t="s">
        <v>405</v>
      </c>
      <c r="E101" t="s">
        <v>406</v>
      </c>
      <c r="F101">
        <v>62200</v>
      </c>
      <c r="G101">
        <v>21800</v>
      </c>
      <c r="H101">
        <v>24900</v>
      </c>
      <c r="I101">
        <v>28000</v>
      </c>
      <c r="J101">
        <v>31100</v>
      </c>
      <c r="K101">
        <v>33600</v>
      </c>
      <c r="L101">
        <v>36100</v>
      </c>
      <c r="M101">
        <v>38600</v>
      </c>
      <c r="N101">
        <v>41100</v>
      </c>
      <c r="O101">
        <v>26160</v>
      </c>
      <c r="P101">
        <v>29880</v>
      </c>
      <c r="Q101">
        <v>33600</v>
      </c>
      <c r="R101">
        <v>37320</v>
      </c>
      <c r="S101">
        <v>40320</v>
      </c>
      <c r="T101">
        <v>43320</v>
      </c>
      <c r="U101">
        <v>46320</v>
      </c>
      <c r="V101">
        <v>49320</v>
      </c>
      <c r="W101" t="s">
        <v>188</v>
      </c>
      <c r="AN101" t="s">
        <v>407</v>
      </c>
      <c r="AO101" t="s">
        <v>407</v>
      </c>
      <c r="AP101" t="s">
        <v>158</v>
      </c>
      <c r="AQ101">
        <v>0</v>
      </c>
      <c r="AR101" t="s">
        <v>137</v>
      </c>
      <c r="AS101" t="s">
        <v>35</v>
      </c>
      <c r="AT101">
        <v>189</v>
      </c>
      <c r="AU101" t="s">
        <v>137</v>
      </c>
    </row>
    <row r="102" spans="2:47" x14ac:dyDescent="0.25">
      <c r="B102" t="str">
        <f t="shared" si="1"/>
        <v>Wayne County</v>
      </c>
      <c r="C102">
        <v>37</v>
      </c>
      <c r="D102" t="s">
        <v>408</v>
      </c>
      <c r="E102" t="s">
        <v>409</v>
      </c>
      <c r="F102">
        <v>49800</v>
      </c>
      <c r="G102">
        <v>17850</v>
      </c>
      <c r="H102">
        <v>20400</v>
      </c>
      <c r="I102">
        <v>22950</v>
      </c>
      <c r="J102">
        <v>25450</v>
      </c>
      <c r="K102">
        <v>27500</v>
      </c>
      <c r="L102">
        <v>29550</v>
      </c>
      <c r="M102">
        <v>31600</v>
      </c>
      <c r="N102">
        <v>33600</v>
      </c>
      <c r="O102">
        <v>21420</v>
      </c>
      <c r="P102">
        <v>24480</v>
      </c>
      <c r="Q102">
        <v>27540</v>
      </c>
      <c r="R102">
        <v>30540</v>
      </c>
      <c r="S102">
        <v>33000</v>
      </c>
      <c r="T102">
        <v>35460</v>
      </c>
      <c r="U102">
        <v>37920</v>
      </c>
      <c r="V102">
        <v>40320</v>
      </c>
      <c r="W102" t="s">
        <v>156</v>
      </c>
      <c r="X102">
        <v>18900</v>
      </c>
      <c r="Y102">
        <v>21600</v>
      </c>
      <c r="Z102">
        <v>24300</v>
      </c>
      <c r="AA102">
        <v>27000</v>
      </c>
      <c r="AB102">
        <v>29200</v>
      </c>
      <c r="AC102">
        <v>31350</v>
      </c>
      <c r="AD102">
        <v>33500</v>
      </c>
      <c r="AE102">
        <v>35650</v>
      </c>
      <c r="AF102">
        <v>22680</v>
      </c>
      <c r="AG102">
        <v>25920</v>
      </c>
      <c r="AH102">
        <v>29160</v>
      </c>
      <c r="AI102">
        <v>32400</v>
      </c>
      <c r="AJ102">
        <v>35040</v>
      </c>
      <c r="AK102">
        <v>37620</v>
      </c>
      <c r="AL102">
        <v>40200</v>
      </c>
      <c r="AM102">
        <v>42780</v>
      </c>
      <c r="AN102" t="s">
        <v>410</v>
      </c>
      <c r="AO102" t="s">
        <v>410</v>
      </c>
      <c r="AP102" t="s">
        <v>158</v>
      </c>
      <c r="AQ102">
        <v>1</v>
      </c>
      <c r="AR102" t="s">
        <v>138</v>
      </c>
      <c r="AS102" t="s">
        <v>35</v>
      </c>
      <c r="AT102">
        <v>191</v>
      </c>
      <c r="AU102" t="s">
        <v>138</v>
      </c>
    </row>
    <row r="103" spans="2:47" x14ac:dyDescent="0.25">
      <c r="B103" t="str">
        <f t="shared" si="1"/>
        <v>Wilkes County</v>
      </c>
      <c r="C103">
        <v>37</v>
      </c>
      <c r="D103" t="s">
        <v>411</v>
      </c>
      <c r="E103" t="s">
        <v>412</v>
      </c>
      <c r="F103">
        <v>37600</v>
      </c>
      <c r="G103">
        <v>17300</v>
      </c>
      <c r="H103">
        <v>19800</v>
      </c>
      <c r="I103">
        <v>22250</v>
      </c>
      <c r="J103">
        <v>24700</v>
      </c>
      <c r="K103">
        <v>26700</v>
      </c>
      <c r="L103">
        <v>28700</v>
      </c>
      <c r="M103">
        <v>30650</v>
      </c>
      <c r="N103">
        <v>32650</v>
      </c>
      <c r="O103">
        <v>20760</v>
      </c>
      <c r="P103">
        <v>23760</v>
      </c>
      <c r="Q103">
        <v>26700</v>
      </c>
      <c r="R103">
        <v>29640</v>
      </c>
      <c r="S103">
        <v>32040</v>
      </c>
      <c r="T103">
        <v>34440</v>
      </c>
      <c r="U103">
        <v>36780</v>
      </c>
      <c r="V103">
        <v>39180</v>
      </c>
      <c r="W103" t="s">
        <v>156</v>
      </c>
      <c r="X103">
        <v>18250</v>
      </c>
      <c r="Y103">
        <v>20850</v>
      </c>
      <c r="Z103">
        <v>23450</v>
      </c>
      <c r="AA103">
        <v>26050</v>
      </c>
      <c r="AB103">
        <v>28150</v>
      </c>
      <c r="AC103">
        <v>30250</v>
      </c>
      <c r="AD103">
        <v>32350</v>
      </c>
      <c r="AE103">
        <v>34400</v>
      </c>
      <c r="AF103">
        <v>21900</v>
      </c>
      <c r="AG103">
        <v>25020</v>
      </c>
      <c r="AH103">
        <v>28140</v>
      </c>
      <c r="AI103">
        <v>31260</v>
      </c>
      <c r="AJ103">
        <v>33780</v>
      </c>
      <c r="AK103">
        <v>36300</v>
      </c>
      <c r="AL103">
        <v>38820</v>
      </c>
      <c r="AM103">
        <v>41280</v>
      </c>
      <c r="AN103" t="s">
        <v>413</v>
      </c>
      <c r="AO103" t="s">
        <v>413</v>
      </c>
      <c r="AP103" t="s">
        <v>158</v>
      </c>
      <c r="AQ103">
        <v>0</v>
      </c>
      <c r="AR103" t="s">
        <v>139</v>
      </c>
      <c r="AS103" t="s">
        <v>35</v>
      </c>
      <c r="AT103">
        <v>193</v>
      </c>
      <c r="AU103" t="s">
        <v>139</v>
      </c>
    </row>
    <row r="104" spans="2:47" x14ac:dyDescent="0.25">
      <c r="B104" t="str">
        <f t="shared" si="1"/>
        <v>Wilson County</v>
      </c>
      <c r="C104">
        <v>37</v>
      </c>
      <c r="D104" t="s">
        <v>414</v>
      </c>
      <c r="E104" t="s">
        <v>415</v>
      </c>
      <c r="F104">
        <v>43100</v>
      </c>
      <c r="G104">
        <v>17300</v>
      </c>
      <c r="H104">
        <v>19800</v>
      </c>
      <c r="I104">
        <v>22250</v>
      </c>
      <c r="J104">
        <v>24700</v>
      </c>
      <c r="K104">
        <v>26700</v>
      </c>
      <c r="L104">
        <v>28700</v>
      </c>
      <c r="M104">
        <v>30650</v>
      </c>
      <c r="N104">
        <v>32650</v>
      </c>
      <c r="O104">
        <v>20760</v>
      </c>
      <c r="P104">
        <v>23760</v>
      </c>
      <c r="Q104">
        <v>26700</v>
      </c>
      <c r="R104">
        <v>29640</v>
      </c>
      <c r="S104">
        <v>32040</v>
      </c>
      <c r="T104">
        <v>34440</v>
      </c>
      <c r="U104">
        <v>36780</v>
      </c>
      <c r="V104">
        <v>39180</v>
      </c>
      <c r="W104" t="s">
        <v>156</v>
      </c>
      <c r="X104">
        <v>18200</v>
      </c>
      <c r="Y104">
        <v>20800</v>
      </c>
      <c r="Z104">
        <v>23400</v>
      </c>
      <c r="AA104">
        <v>25950</v>
      </c>
      <c r="AB104">
        <v>28050</v>
      </c>
      <c r="AC104">
        <v>30150</v>
      </c>
      <c r="AD104">
        <v>32200</v>
      </c>
      <c r="AE104">
        <v>34300</v>
      </c>
      <c r="AF104">
        <v>21840</v>
      </c>
      <c r="AG104">
        <v>24960</v>
      </c>
      <c r="AH104">
        <v>28080</v>
      </c>
      <c r="AI104">
        <v>31140</v>
      </c>
      <c r="AJ104">
        <v>33660</v>
      </c>
      <c r="AK104">
        <v>36180</v>
      </c>
      <c r="AL104">
        <v>38640</v>
      </c>
      <c r="AM104">
        <v>41160</v>
      </c>
      <c r="AN104" t="s">
        <v>416</v>
      </c>
      <c r="AO104" t="s">
        <v>416</v>
      </c>
      <c r="AP104" t="s">
        <v>158</v>
      </c>
      <c r="AQ104">
        <v>0</v>
      </c>
      <c r="AR104" t="s">
        <v>140</v>
      </c>
      <c r="AS104" t="s">
        <v>35</v>
      </c>
      <c r="AT104">
        <v>195</v>
      </c>
      <c r="AU104" t="s">
        <v>140</v>
      </c>
    </row>
    <row r="105" spans="2:47" x14ac:dyDescent="0.25">
      <c r="B105" t="str">
        <f t="shared" si="1"/>
        <v>Yadkin County</v>
      </c>
      <c r="C105">
        <v>37</v>
      </c>
      <c r="D105" t="s">
        <v>238</v>
      </c>
      <c r="E105" t="s">
        <v>239</v>
      </c>
      <c r="F105">
        <v>56000</v>
      </c>
      <c r="G105">
        <v>19850</v>
      </c>
      <c r="H105">
        <v>22650</v>
      </c>
      <c r="I105">
        <v>25500</v>
      </c>
      <c r="J105">
        <v>28300</v>
      </c>
      <c r="K105">
        <v>30600</v>
      </c>
      <c r="L105">
        <v>32850</v>
      </c>
      <c r="M105">
        <v>35100</v>
      </c>
      <c r="N105">
        <v>37400</v>
      </c>
      <c r="O105">
        <v>23820</v>
      </c>
      <c r="P105">
        <v>27180</v>
      </c>
      <c r="Q105">
        <v>30600</v>
      </c>
      <c r="R105">
        <v>33960</v>
      </c>
      <c r="S105">
        <v>36720</v>
      </c>
      <c r="T105">
        <v>39420</v>
      </c>
      <c r="U105">
        <v>42120</v>
      </c>
      <c r="V105">
        <v>44880</v>
      </c>
      <c r="W105" t="s">
        <v>156</v>
      </c>
      <c r="X105">
        <v>22050</v>
      </c>
      <c r="Y105">
        <v>25200</v>
      </c>
      <c r="Z105">
        <v>28350</v>
      </c>
      <c r="AA105">
        <v>31500</v>
      </c>
      <c r="AB105">
        <v>34050</v>
      </c>
      <c r="AC105">
        <v>36550</v>
      </c>
      <c r="AD105">
        <v>39100</v>
      </c>
      <c r="AE105">
        <v>41600</v>
      </c>
      <c r="AF105">
        <v>26460</v>
      </c>
      <c r="AG105">
        <v>30240</v>
      </c>
      <c r="AH105">
        <v>34020</v>
      </c>
      <c r="AI105">
        <v>37800</v>
      </c>
      <c r="AJ105">
        <v>40860</v>
      </c>
      <c r="AK105">
        <v>43860</v>
      </c>
      <c r="AL105">
        <v>46920</v>
      </c>
      <c r="AM105">
        <v>49920</v>
      </c>
      <c r="AN105" t="s">
        <v>417</v>
      </c>
      <c r="AO105" t="s">
        <v>417</v>
      </c>
      <c r="AP105" t="s">
        <v>158</v>
      </c>
      <c r="AQ105">
        <v>1</v>
      </c>
      <c r="AR105" t="s">
        <v>141</v>
      </c>
      <c r="AS105" t="s">
        <v>35</v>
      </c>
      <c r="AT105">
        <v>197</v>
      </c>
      <c r="AU105" t="s">
        <v>141</v>
      </c>
    </row>
    <row r="106" spans="2:47" x14ac:dyDescent="0.25">
      <c r="B106" t="str">
        <f t="shared" si="1"/>
        <v>Yancey County</v>
      </c>
      <c r="C106">
        <v>37</v>
      </c>
      <c r="D106" t="s">
        <v>418</v>
      </c>
      <c r="E106" t="s">
        <v>419</v>
      </c>
      <c r="F106">
        <v>48500</v>
      </c>
      <c r="G106">
        <v>17300</v>
      </c>
      <c r="H106">
        <v>19800</v>
      </c>
      <c r="I106">
        <v>22250</v>
      </c>
      <c r="J106">
        <v>24700</v>
      </c>
      <c r="K106">
        <v>26700</v>
      </c>
      <c r="L106">
        <v>28700</v>
      </c>
      <c r="M106">
        <v>30650</v>
      </c>
      <c r="N106">
        <v>32650</v>
      </c>
      <c r="O106">
        <v>20760</v>
      </c>
      <c r="P106">
        <v>23760</v>
      </c>
      <c r="Q106">
        <v>26700</v>
      </c>
      <c r="R106">
        <v>29640</v>
      </c>
      <c r="S106">
        <v>32040</v>
      </c>
      <c r="T106">
        <v>34440</v>
      </c>
      <c r="U106">
        <v>36780</v>
      </c>
      <c r="V106">
        <v>39180</v>
      </c>
      <c r="W106" t="s">
        <v>156</v>
      </c>
      <c r="X106">
        <v>19400</v>
      </c>
      <c r="Y106">
        <v>22150</v>
      </c>
      <c r="Z106">
        <v>24900</v>
      </c>
      <c r="AA106">
        <v>27650</v>
      </c>
      <c r="AB106">
        <v>29900</v>
      </c>
      <c r="AC106">
        <v>32100</v>
      </c>
      <c r="AD106">
        <v>34300</v>
      </c>
      <c r="AE106">
        <v>36500</v>
      </c>
      <c r="AF106">
        <v>23280</v>
      </c>
      <c r="AG106">
        <v>26580</v>
      </c>
      <c r="AH106">
        <v>29880</v>
      </c>
      <c r="AI106">
        <v>33180</v>
      </c>
      <c r="AJ106">
        <v>35880</v>
      </c>
      <c r="AK106">
        <v>38520</v>
      </c>
      <c r="AL106">
        <v>41160</v>
      </c>
      <c r="AM106">
        <v>43800</v>
      </c>
      <c r="AN106" t="s">
        <v>420</v>
      </c>
      <c r="AO106" t="s">
        <v>420</v>
      </c>
      <c r="AP106" t="s">
        <v>158</v>
      </c>
      <c r="AQ106">
        <v>0</v>
      </c>
      <c r="AR106" t="s">
        <v>142</v>
      </c>
      <c r="AS106" t="s">
        <v>35</v>
      </c>
      <c r="AT106">
        <v>199</v>
      </c>
      <c r="AU106" t="s">
        <v>142</v>
      </c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102"/>
  <sheetViews>
    <sheetView workbookViewId="0">
      <selection activeCell="R6" sqref="R6"/>
    </sheetView>
  </sheetViews>
  <sheetFormatPr defaultColWidth="8.85546875" defaultRowHeight="15" x14ac:dyDescent="0.25"/>
  <cols>
    <col min="2" max="2" width="20" bestFit="1" customWidth="1"/>
    <col min="3" max="3" width="3" customWidth="1"/>
    <col min="4" max="4" width="12.140625" bestFit="1" customWidth="1"/>
    <col min="5" max="5" width="2.7109375" customWidth="1"/>
    <col min="6" max="6" width="17.7109375" bestFit="1" customWidth="1"/>
    <col min="7" max="7" width="3" customWidth="1"/>
    <col min="8" max="8" width="16.85546875" bestFit="1" customWidth="1"/>
    <col min="9" max="9" width="2.7109375" customWidth="1"/>
    <col min="10" max="10" width="17.7109375" bestFit="1" customWidth="1"/>
    <col min="11" max="11" width="2.42578125" customWidth="1"/>
    <col min="12" max="12" width="11.42578125" bestFit="1" customWidth="1"/>
    <col min="13" max="13" width="2.42578125" customWidth="1"/>
    <col min="14" max="14" width="10.85546875" bestFit="1" customWidth="1"/>
    <col min="15" max="15" width="2.85546875" customWidth="1"/>
    <col min="16" max="16" width="12.85546875" bestFit="1" customWidth="1"/>
    <col min="17" max="17" width="2.85546875" customWidth="1"/>
    <col min="18" max="18" width="9.42578125" bestFit="1" customWidth="1"/>
    <col min="19" max="19" width="2.85546875" customWidth="1"/>
  </cols>
  <sheetData>
    <row r="1" spans="1:20" x14ac:dyDescent="0.2">
      <c r="A1" s="7"/>
    </row>
    <row r="2" spans="1:20" x14ac:dyDescent="0.2">
      <c r="B2" s="2" t="s">
        <v>2</v>
      </c>
      <c r="D2" s="2" t="s">
        <v>8</v>
      </c>
      <c r="F2" s="2" t="s">
        <v>6</v>
      </c>
      <c r="H2" s="2" t="s">
        <v>11</v>
      </c>
      <c r="J2" s="2" t="s">
        <v>22</v>
      </c>
      <c r="L2" s="2" t="s">
        <v>27</v>
      </c>
      <c r="N2" s="2" t="s">
        <v>33</v>
      </c>
      <c r="P2" s="2" t="s">
        <v>36</v>
      </c>
      <c r="Q2" s="2"/>
      <c r="R2" s="2" t="s">
        <v>144</v>
      </c>
      <c r="T2" s="2" t="s">
        <v>150</v>
      </c>
    </row>
    <row r="3" spans="1:20" x14ac:dyDescent="0.2">
      <c r="B3" t="s">
        <v>43</v>
      </c>
      <c r="D3" t="s">
        <v>9</v>
      </c>
      <c r="F3" t="s">
        <v>7</v>
      </c>
      <c r="H3" t="s">
        <v>16</v>
      </c>
      <c r="J3" t="s">
        <v>9</v>
      </c>
      <c r="L3" t="s">
        <v>29</v>
      </c>
      <c r="N3" t="s">
        <v>39</v>
      </c>
      <c r="P3" t="s">
        <v>37</v>
      </c>
      <c r="R3" t="s">
        <v>469</v>
      </c>
      <c r="T3" s="5">
        <v>0.6</v>
      </c>
    </row>
    <row r="4" spans="1:20" x14ac:dyDescent="0.2">
      <c r="B4" t="s">
        <v>44</v>
      </c>
      <c r="D4" t="s">
        <v>10</v>
      </c>
      <c r="F4" t="s">
        <v>14</v>
      </c>
      <c r="H4" t="s">
        <v>20</v>
      </c>
      <c r="J4" t="s">
        <v>10</v>
      </c>
      <c r="L4" t="s">
        <v>30</v>
      </c>
      <c r="N4" t="s">
        <v>40</v>
      </c>
      <c r="P4" t="s">
        <v>38</v>
      </c>
      <c r="R4" s="1" t="s">
        <v>473</v>
      </c>
      <c r="T4" s="5">
        <v>0.5</v>
      </c>
    </row>
    <row r="5" spans="1:20" x14ac:dyDescent="0.2">
      <c r="B5" t="s">
        <v>45</v>
      </c>
      <c r="F5" t="s">
        <v>13</v>
      </c>
      <c r="H5" t="s">
        <v>21</v>
      </c>
      <c r="N5" t="s">
        <v>41</v>
      </c>
      <c r="R5" s="1" t="s">
        <v>474</v>
      </c>
      <c r="T5" s="5">
        <v>0.4</v>
      </c>
    </row>
    <row r="6" spans="1:20" x14ac:dyDescent="0.2">
      <c r="B6" t="s">
        <v>46</v>
      </c>
      <c r="F6" t="s">
        <v>12</v>
      </c>
      <c r="H6" t="s">
        <v>17</v>
      </c>
      <c r="R6" s="1" t="s">
        <v>475</v>
      </c>
      <c r="T6" s="5">
        <v>0.3</v>
      </c>
    </row>
    <row r="7" spans="1:20" x14ac:dyDescent="0.2">
      <c r="B7" t="s">
        <v>47</v>
      </c>
      <c r="F7" t="s">
        <v>15</v>
      </c>
      <c r="H7" t="s">
        <v>18</v>
      </c>
      <c r="R7" s="1"/>
      <c r="T7" t="s">
        <v>153</v>
      </c>
    </row>
    <row r="8" spans="1:20" x14ac:dyDescent="0.2">
      <c r="B8" t="s">
        <v>48</v>
      </c>
      <c r="H8" t="s">
        <v>19</v>
      </c>
    </row>
    <row r="9" spans="1:20" x14ac:dyDescent="0.2">
      <c r="B9" t="s">
        <v>49</v>
      </c>
    </row>
    <row r="10" spans="1:20" x14ac:dyDescent="0.2">
      <c r="B10" t="s">
        <v>50</v>
      </c>
    </row>
    <row r="11" spans="1:20" x14ac:dyDescent="0.2">
      <c r="B11" t="s">
        <v>51</v>
      </c>
    </row>
    <row r="12" spans="1:20" x14ac:dyDescent="0.2">
      <c r="B12" t="s">
        <v>52</v>
      </c>
    </row>
    <row r="13" spans="1:20" x14ac:dyDescent="0.2">
      <c r="B13" t="s">
        <v>53</v>
      </c>
    </row>
    <row r="14" spans="1:20" x14ac:dyDescent="0.2">
      <c r="B14" t="s">
        <v>54</v>
      </c>
    </row>
    <row r="15" spans="1:20" x14ac:dyDescent="0.2">
      <c r="B15" t="s">
        <v>55</v>
      </c>
    </row>
    <row r="16" spans="1:20" x14ac:dyDescent="0.25">
      <c r="B16" t="s">
        <v>56</v>
      </c>
    </row>
    <row r="17" spans="2:2" x14ac:dyDescent="0.25">
      <c r="B17" t="s">
        <v>57</v>
      </c>
    </row>
    <row r="18" spans="2:2" x14ac:dyDescent="0.25">
      <c r="B18" t="s">
        <v>58</v>
      </c>
    </row>
    <row r="19" spans="2:2" x14ac:dyDescent="0.25">
      <c r="B19" t="s">
        <v>59</v>
      </c>
    </row>
    <row r="20" spans="2:2" x14ac:dyDescent="0.25">
      <c r="B20" t="s">
        <v>60</v>
      </c>
    </row>
    <row r="21" spans="2:2" x14ac:dyDescent="0.25">
      <c r="B21" t="s">
        <v>61</v>
      </c>
    </row>
    <row r="22" spans="2:2" x14ac:dyDescent="0.25">
      <c r="B22" t="s">
        <v>62</v>
      </c>
    </row>
    <row r="23" spans="2:2" x14ac:dyDescent="0.25">
      <c r="B23" t="s">
        <v>63</v>
      </c>
    </row>
    <row r="24" spans="2:2" x14ac:dyDescent="0.25">
      <c r="B24" t="s">
        <v>64</v>
      </c>
    </row>
    <row r="25" spans="2:2" x14ac:dyDescent="0.25">
      <c r="B25" t="s">
        <v>65</v>
      </c>
    </row>
    <row r="26" spans="2:2" x14ac:dyDescent="0.25">
      <c r="B26" t="s">
        <v>66</v>
      </c>
    </row>
    <row r="27" spans="2:2" x14ac:dyDescent="0.25">
      <c r="B27" t="s">
        <v>67</v>
      </c>
    </row>
    <row r="28" spans="2:2" x14ac:dyDescent="0.25">
      <c r="B28" t="s">
        <v>68</v>
      </c>
    </row>
    <row r="29" spans="2:2" x14ac:dyDescent="0.25">
      <c r="B29" t="s">
        <v>69</v>
      </c>
    </row>
    <row r="30" spans="2:2" x14ac:dyDescent="0.25">
      <c r="B30" t="s">
        <v>70</v>
      </c>
    </row>
    <row r="31" spans="2:2" x14ac:dyDescent="0.25">
      <c r="B31" t="s">
        <v>71</v>
      </c>
    </row>
    <row r="32" spans="2:2" x14ac:dyDescent="0.25">
      <c r="B32" t="s">
        <v>72</v>
      </c>
    </row>
    <row r="33" spans="2:2" x14ac:dyDescent="0.25">
      <c r="B33" t="s">
        <v>73</v>
      </c>
    </row>
    <row r="34" spans="2:2" x14ac:dyDescent="0.25">
      <c r="B34" t="s">
        <v>74</v>
      </c>
    </row>
    <row r="35" spans="2:2" x14ac:dyDescent="0.25">
      <c r="B35" t="s">
        <v>75</v>
      </c>
    </row>
    <row r="36" spans="2:2" x14ac:dyDescent="0.25">
      <c r="B36" t="s">
        <v>76</v>
      </c>
    </row>
    <row r="37" spans="2:2" x14ac:dyDescent="0.25">
      <c r="B37" t="s">
        <v>77</v>
      </c>
    </row>
    <row r="38" spans="2:2" x14ac:dyDescent="0.25">
      <c r="B38" t="s">
        <v>78</v>
      </c>
    </row>
    <row r="39" spans="2:2" x14ac:dyDescent="0.25">
      <c r="B39" t="s">
        <v>79</v>
      </c>
    </row>
    <row r="40" spans="2:2" x14ac:dyDescent="0.25">
      <c r="B40" t="s">
        <v>80</v>
      </c>
    </row>
    <row r="41" spans="2:2" x14ac:dyDescent="0.25">
      <c r="B41" t="s">
        <v>81</v>
      </c>
    </row>
    <row r="42" spans="2:2" x14ac:dyDescent="0.25">
      <c r="B42" t="s">
        <v>82</v>
      </c>
    </row>
    <row r="43" spans="2:2" x14ac:dyDescent="0.25">
      <c r="B43" t="s">
        <v>83</v>
      </c>
    </row>
    <row r="44" spans="2:2" x14ac:dyDescent="0.25">
      <c r="B44" t="s">
        <v>84</v>
      </c>
    </row>
    <row r="45" spans="2:2" x14ac:dyDescent="0.25">
      <c r="B45" t="s">
        <v>85</v>
      </c>
    </row>
    <row r="46" spans="2:2" x14ac:dyDescent="0.25">
      <c r="B46" t="s">
        <v>86</v>
      </c>
    </row>
    <row r="47" spans="2:2" x14ac:dyDescent="0.25">
      <c r="B47" t="s">
        <v>87</v>
      </c>
    </row>
    <row r="48" spans="2:2" x14ac:dyDescent="0.25">
      <c r="B48" t="s">
        <v>88</v>
      </c>
    </row>
    <row r="49" spans="2:2" x14ac:dyDescent="0.25">
      <c r="B49" t="s">
        <v>89</v>
      </c>
    </row>
    <row r="50" spans="2:2" x14ac:dyDescent="0.25">
      <c r="B50" t="s">
        <v>90</v>
      </c>
    </row>
    <row r="51" spans="2:2" x14ac:dyDescent="0.25">
      <c r="B51" t="s">
        <v>91</v>
      </c>
    </row>
    <row r="52" spans="2:2" x14ac:dyDescent="0.25">
      <c r="B52" t="s">
        <v>92</v>
      </c>
    </row>
    <row r="53" spans="2:2" x14ac:dyDescent="0.25">
      <c r="B53" t="s">
        <v>93</v>
      </c>
    </row>
    <row r="54" spans="2:2" x14ac:dyDescent="0.25">
      <c r="B54" t="s">
        <v>94</v>
      </c>
    </row>
    <row r="55" spans="2:2" x14ac:dyDescent="0.25">
      <c r="B55" t="s">
        <v>95</v>
      </c>
    </row>
    <row r="56" spans="2:2" x14ac:dyDescent="0.25">
      <c r="B56" t="s">
        <v>96</v>
      </c>
    </row>
    <row r="57" spans="2:2" x14ac:dyDescent="0.25">
      <c r="B57" t="s">
        <v>97</v>
      </c>
    </row>
    <row r="58" spans="2:2" x14ac:dyDescent="0.25">
      <c r="B58" t="s">
        <v>98</v>
      </c>
    </row>
    <row r="59" spans="2:2" x14ac:dyDescent="0.25">
      <c r="B59" t="s">
        <v>99</v>
      </c>
    </row>
    <row r="60" spans="2:2" x14ac:dyDescent="0.25">
      <c r="B60" t="s">
        <v>100</v>
      </c>
    </row>
    <row r="61" spans="2:2" x14ac:dyDescent="0.25">
      <c r="B61" t="s">
        <v>101</v>
      </c>
    </row>
    <row r="62" spans="2:2" x14ac:dyDescent="0.25">
      <c r="B62" t="s">
        <v>102</v>
      </c>
    </row>
    <row r="63" spans="2:2" x14ac:dyDescent="0.25">
      <c r="B63" t="s">
        <v>103</v>
      </c>
    </row>
    <row r="64" spans="2:2" x14ac:dyDescent="0.25">
      <c r="B64" t="s">
        <v>104</v>
      </c>
    </row>
    <row r="65" spans="2:2" x14ac:dyDescent="0.25">
      <c r="B65" t="s">
        <v>105</v>
      </c>
    </row>
    <row r="66" spans="2:2" x14ac:dyDescent="0.25">
      <c r="B66" t="s">
        <v>106</v>
      </c>
    </row>
    <row r="67" spans="2:2" x14ac:dyDescent="0.25">
      <c r="B67" t="s">
        <v>107</v>
      </c>
    </row>
    <row r="68" spans="2:2" x14ac:dyDescent="0.25">
      <c r="B68" t="s">
        <v>108</v>
      </c>
    </row>
    <row r="69" spans="2:2" x14ac:dyDescent="0.25">
      <c r="B69" t="s">
        <v>109</v>
      </c>
    </row>
    <row r="70" spans="2:2" x14ac:dyDescent="0.25">
      <c r="B70" t="s">
        <v>110</v>
      </c>
    </row>
    <row r="71" spans="2:2" x14ac:dyDescent="0.25">
      <c r="B71" t="s">
        <v>111</v>
      </c>
    </row>
    <row r="72" spans="2:2" x14ac:dyDescent="0.25">
      <c r="B72" t="s">
        <v>112</v>
      </c>
    </row>
    <row r="73" spans="2:2" x14ac:dyDescent="0.25">
      <c r="B73" t="s">
        <v>113</v>
      </c>
    </row>
    <row r="74" spans="2:2" x14ac:dyDescent="0.25">
      <c r="B74" t="s">
        <v>114</v>
      </c>
    </row>
    <row r="75" spans="2:2" x14ac:dyDescent="0.25">
      <c r="B75" t="s">
        <v>115</v>
      </c>
    </row>
    <row r="76" spans="2:2" x14ac:dyDescent="0.25">
      <c r="B76" t="s">
        <v>116</v>
      </c>
    </row>
    <row r="77" spans="2:2" x14ac:dyDescent="0.25">
      <c r="B77" t="s">
        <v>117</v>
      </c>
    </row>
    <row r="78" spans="2:2" x14ac:dyDescent="0.25">
      <c r="B78" t="s">
        <v>118</v>
      </c>
    </row>
    <row r="79" spans="2:2" x14ac:dyDescent="0.25">
      <c r="B79" t="s">
        <v>119</v>
      </c>
    </row>
    <row r="80" spans="2:2" x14ac:dyDescent="0.25">
      <c r="B80" t="s">
        <v>120</v>
      </c>
    </row>
    <row r="81" spans="2:2" x14ac:dyDescent="0.25">
      <c r="B81" t="s">
        <v>121</v>
      </c>
    </row>
    <row r="82" spans="2:2" x14ac:dyDescent="0.25">
      <c r="B82" t="s">
        <v>122</v>
      </c>
    </row>
    <row r="83" spans="2:2" x14ac:dyDescent="0.25">
      <c r="B83" t="s">
        <v>123</v>
      </c>
    </row>
    <row r="84" spans="2:2" x14ac:dyDescent="0.25">
      <c r="B84" t="s">
        <v>124</v>
      </c>
    </row>
    <row r="85" spans="2:2" x14ac:dyDescent="0.25">
      <c r="B85" t="s">
        <v>125</v>
      </c>
    </row>
    <row r="86" spans="2:2" x14ac:dyDescent="0.25">
      <c r="B86" t="s">
        <v>126</v>
      </c>
    </row>
    <row r="87" spans="2:2" x14ac:dyDescent="0.25">
      <c r="B87" t="s">
        <v>127</v>
      </c>
    </row>
    <row r="88" spans="2:2" x14ac:dyDescent="0.25">
      <c r="B88" t="s">
        <v>128</v>
      </c>
    </row>
    <row r="89" spans="2:2" x14ac:dyDescent="0.25">
      <c r="B89" t="s">
        <v>129</v>
      </c>
    </row>
    <row r="90" spans="2:2" x14ac:dyDescent="0.25">
      <c r="B90" t="s">
        <v>130</v>
      </c>
    </row>
    <row r="91" spans="2:2" x14ac:dyDescent="0.25">
      <c r="B91" t="s">
        <v>131</v>
      </c>
    </row>
    <row r="92" spans="2:2" x14ac:dyDescent="0.25">
      <c r="B92" t="s">
        <v>132</v>
      </c>
    </row>
    <row r="93" spans="2:2" x14ac:dyDescent="0.25">
      <c r="B93" t="s">
        <v>133</v>
      </c>
    </row>
    <row r="94" spans="2:2" x14ac:dyDescent="0.25">
      <c r="B94" t="s">
        <v>134</v>
      </c>
    </row>
    <row r="95" spans="2:2" x14ac:dyDescent="0.25">
      <c r="B95" t="s">
        <v>135</v>
      </c>
    </row>
    <row r="96" spans="2:2" x14ac:dyDescent="0.25">
      <c r="B96" t="s">
        <v>136</v>
      </c>
    </row>
    <row r="97" spans="2:2" x14ac:dyDescent="0.25">
      <c r="B97" t="s">
        <v>137</v>
      </c>
    </row>
    <row r="98" spans="2:2" x14ac:dyDescent="0.25">
      <c r="B98" t="s">
        <v>138</v>
      </c>
    </row>
    <row r="99" spans="2:2" x14ac:dyDescent="0.25">
      <c r="B99" t="s">
        <v>139</v>
      </c>
    </row>
    <row r="100" spans="2:2" x14ac:dyDescent="0.25">
      <c r="B100" t="s">
        <v>140</v>
      </c>
    </row>
    <row r="101" spans="2:2" x14ac:dyDescent="0.25">
      <c r="B101" t="s">
        <v>141</v>
      </c>
    </row>
    <row r="102" spans="2:2" x14ac:dyDescent="0.25">
      <c r="B102" t="s">
        <v>142</v>
      </c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C16"/>
  <sheetViews>
    <sheetView workbookViewId="0">
      <selection activeCell="C8" sqref="C8"/>
    </sheetView>
  </sheetViews>
  <sheetFormatPr defaultRowHeight="15" x14ac:dyDescent="0.25"/>
  <cols>
    <col min="2" max="2" width="43.140625" customWidth="1"/>
    <col min="3" max="3" width="13.28515625" bestFit="1" customWidth="1"/>
  </cols>
  <sheetData>
    <row r="3" spans="2:3" x14ac:dyDescent="0.25">
      <c r="B3" t="s">
        <v>738</v>
      </c>
      <c r="C3" s="306">
        <v>3000000</v>
      </c>
    </row>
    <row r="4" spans="2:3" x14ac:dyDescent="0.25">
      <c r="B4" t="s">
        <v>739</v>
      </c>
      <c r="C4" s="306">
        <v>2100000</v>
      </c>
    </row>
    <row r="5" spans="2:3" x14ac:dyDescent="0.25">
      <c r="B5" t="s">
        <v>740</v>
      </c>
      <c r="C5">
        <f>+'Project Description'!D20</f>
        <v>8.43</v>
      </c>
    </row>
    <row r="6" spans="2:3" x14ac:dyDescent="0.25">
      <c r="B6" t="s">
        <v>741</v>
      </c>
      <c r="C6">
        <v>23</v>
      </c>
    </row>
    <row r="7" spans="2:3" x14ac:dyDescent="0.25">
      <c r="B7" t="s">
        <v>742</v>
      </c>
      <c r="C7" s="306">
        <f>150000*C5</f>
        <v>1264500</v>
      </c>
    </row>
    <row r="8" spans="2:3" x14ac:dyDescent="0.25">
      <c r="B8" t="s">
        <v>743</v>
      </c>
      <c r="C8" s="267">
        <f>+'Project Description'!D25</f>
        <v>2520000</v>
      </c>
    </row>
    <row r="9" spans="2:3" x14ac:dyDescent="0.25">
      <c r="B9" t="s">
        <v>748</v>
      </c>
      <c r="C9" s="307">
        <f>+C8-C7</f>
        <v>1255500</v>
      </c>
    </row>
    <row r="10" spans="2:3" x14ac:dyDescent="0.25">
      <c r="B10" t="s">
        <v>744</v>
      </c>
      <c r="C10" s="267">
        <f>+'Sources &amp; Uses'!E10</f>
        <v>7000000</v>
      </c>
    </row>
    <row r="11" spans="2:3" x14ac:dyDescent="0.25">
      <c r="B11" t="s">
        <v>745</v>
      </c>
      <c r="C11" s="307">
        <f>+C10-C9</f>
        <v>5744500</v>
      </c>
    </row>
    <row r="12" spans="2:3" x14ac:dyDescent="0.25">
      <c r="B12" t="s">
        <v>746</v>
      </c>
      <c r="C12" s="307">
        <f>+C3-C7</f>
        <v>1735500</v>
      </c>
    </row>
    <row r="13" spans="2:3" x14ac:dyDescent="0.25">
      <c r="B13" t="s">
        <v>747</v>
      </c>
      <c r="C13" s="307">
        <f>+C4-C9</f>
        <v>844500</v>
      </c>
    </row>
    <row r="14" spans="2:3" x14ac:dyDescent="0.25">
      <c r="B14" t="s">
        <v>749</v>
      </c>
      <c r="C14" s="307">
        <f>+C13+C12</f>
        <v>2580000</v>
      </c>
    </row>
    <row r="15" spans="2:3" x14ac:dyDescent="0.25">
      <c r="B15" t="s">
        <v>750</v>
      </c>
      <c r="C15">
        <f>24-C5</f>
        <v>15.57</v>
      </c>
    </row>
    <row r="16" spans="2:3" x14ac:dyDescent="0.25">
      <c r="B16" t="s">
        <v>751</v>
      </c>
      <c r="C16" s="306">
        <f>+C14/C15</f>
        <v>165703.27552986512</v>
      </c>
    </row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17</vt:i4>
      </vt:variant>
    </vt:vector>
  </HeadingPairs>
  <TitlesOfParts>
    <vt:vector size="25" baseType="lpstr">
      <vt:lpstr>Project Description</vt:lpstr>
      <vt:lpstr>Sources &amp; Uses</vt:lpstr>
      <vt:lpstr>Income &amp; Expenses</vt:lpstr>
      <vt:lpstr>20-year Pro Forma</vt:lpstr>
      <vt:lpstr>Income Limits &amp; Max Rents</vt:lpstr>
      <vt:lpstr>MTSP Income Limits</vt:lpstr>
      <vt:lpstr>DropDownLists</vt:lpstr>
      <vt:lpstr>Land payoff</vt:lpstr>
      <vt:lpstr>AMIrestriction</vt:lpstr>
      <vt:lpstr>BRs</vt:lpstr>
      <vt:lpstr>County</vt:lpstr>
      <vt:lpstr>EntityStatus</vt:lpstr>
      <vt:lpstr>EntityType</vt:lpstr>
      <vt:lpstr>'20-year Pro Forma'!Print_Area</vt:lpstr>
      <vt:lpstr>'Income &amp; Expenses'!Print_Area</vt:lpstr>
      <vt:lpstr>'Project Description'!Print_Area</vt:lpstr>
      <vt:lpstr>'Sources &amp; Uses'!Print_Area</vt:lpstr>
      <vt:lpstr>'20-year Pro Forma'!Print_Titles</vt:lpstr>
      <vt:lpstr>'Income &amp; Expenses'!Print_Titles</vt:lpstr>
      <vt:lpstr>'Sources &amp; Uses'!Print_Titles</vt:lpstr>
      <vt:lpstr>ProjectType</vt:lpstr>
      <vt:lpstr>QCTorDDA</vt:lpstr>
      <vt:lpstr>RentalAssistance</vt:lpstr>
      <vt:lpstr>SiteControl</vt:lpstr>
      <vt:lpstr>TargetPop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Cvelich</dc:creator>
  <cp:lastModifiedBy>Natalie Britt</cp:lastModifiedBy>
  <cp:lastPrinted>2015-06-15T19:03:33Z</cp:lastPrinted>
  <dcterms:created xsi:type="dcterms:W3CDTF">2014-08-12T19:26:15Z</dcterms:created>
  <dcterms:modified xsi:type="dcterms:W3CDTF">2015-06-25T20:38:48Z</dcterms:modified>
</cp:coreProperties>
</file>